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F\حسابداری صندوق\صندوق طلا-12\عملیات حسابداری\گزارش پرتفو\1405\05\"/>
    </mc:Choice>
  </mc:AlternateContent>
  <xr:revisionPtr revIDLastSave="0" documentId="13_ncr:1_{BCA059D7-CD37-4241-A1F9-A4B9B86D7BD1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0" sheetId="25" r:id="rId1"/>
    <sheet name="گواهی شمش" sheetId="2" r:id="rId2"/>
    <sheet name="اوراق مشتقه" sheetId="28" r:id="rId3"/>
    <sheet name="سپرده" sheetId="7" r:id="rId4"/>
    <sheet name="درآمد" sheetId="8" r:id="rId5"/>
    <sheet name="درآمد سرمایه گذاری در گواهی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مشتقه'!$A$1:$AX$12</definedName>
    <definedName name="_xlnm.Print_Area" localSheetId="4">درآمد!$A$1:$K$11</definedName>
    <definedName name="_xlnm.Print_Area" localSheetId="10">'درآمد اعمال اختیار'!$A$1:$L$24</definedName>
    <definedName name="_xlnm.Print_Area" localSheetId="6">'درآمد سپرده بانکی'!$A$1:$J$11</definedName>
    <definedName name="_xlnm.Print_Area" localSheetId="5">'درآمد سرمایه گذاری در گواهی'!$A$1:$V$30</definedName>
    <definedName name="_xlnm.Print_Area" localSheetId="11">'درآمد ناشی از تغییر قیمت اوراق'!$A$1:$Q$15</definedName>
    <definedName name="_xlnm.Print_Area" localSheetId="9">'درآمد ناشی از فروش'!$A$1:$Q$11</definedName>
    <definedName name="_xlnm.Print_Area" localSheetId="7">'سایر درآمدها'!$A$1:$G$9</definedName>
    <definedName name="_xlnm.Print_Area" localSheetId="3">سپرده!$A$1:$K$11</definedName>
    <definedName name="_xlnm.Print_Area" localSheetId="8">'سود سپرده بانکی'!$A$1:$N$11</definedName>
    <definedName name="_xlnm.Print_Area" localSheetId="1">'گواهی شمش'!$A$1:$Y$16</definedName>
  </definedNames>
  <calcPr calcId="191029"/>
</workbook>
</file>

<file path=xl/calcChain.xml><?xml version="1.0" encoding="utf-8"?>
<calcChain xmlns="http://schemas.openxmlformats.org/spreadsheetml/2006/main">
  <c r="I9" i="19" l="1"/>
  <c r="I10" i="19"/>
  <c r="I8" i="19"/>
  <c r="Y10" i="2"/>
  <c r="Q9" i="19"/>
  <c r="Q10" i="19"/>
  <c r="Q8" i="19"/>
  <c r="Q11" i="9"/>
  <c r="Q10" i="9"/>
  <c r="Q9" i="9"/>
  <c r="G9" i="9"/>
  <c r="H23" i="23"/>
  <c r="F23" i="23"/>
  <c r="E23" i="23"/>
  <c r="J23" i="23"/>
  <c r="L23" i="23"/>
  <c r="Q9" i="21"/>
  <c r="Q10" i="21"/>
  <c r="Q11" i="21"/>
  <c r="Q12" i="21"/>
  <c r="Q13" i="21"/>
  <c r="Q14" i="21"/>
  <c r="Q8" i="21"/>
  <c r="Q15" i="21" s="1"/>
  <c r="I9" i="21"/>
  <c r="I15" i="21" s="1"/>
  <c r="I10" i="21"/>
  <c r="I11" i="21"/>
  <c r="I12" i="21"/>
  <c r="I13" i="21"/>
  <c r="I14" i="21"/>
  <c r="I8" i="21"/>
  <c r="M15" i="21"/>
  <c r="G15" i="21"/>
  <c r="E15" i="21"/>
  <c r="A3" i="28"/>
  <c r="Y11" i="2"/>
  <c r="Y16" i="2" s="1"/>
  <c r="Y12" i="2"/>
  <c r="Y13" i="2"/>
  <c r="Y14" i="2"/>
  <c r="Y15" i="2"/>
  <c r="Y9" i="2"/>
  <c r="E16" i="2"/>
  <c r="G10" i="13"/>
  <c r="C10" i="13"/>
  <c r="C11" i="18"/>
  <c r="E11" i="18"/>
  <c r="I11" i="18"/>
  <c r="K11" i="18"/>
  <c r="M10" i="18"/>
  <c r="G10" i="18"/>
  <c r="U16" i="2"/>
  <c r="W16" i="2"/>
  <c r="I10" i="7"/>
  <c r="K10" i="7" s="1"/>
  <c r="I9" i="7"/>
  <c r="K9" i="7" s="1"/>
  <c r="K11" i="7" s="1"/>
  <c r="G16" i="2"/>
  <c r="K16" i="2"/>
  <c r="O16" i="2"/>
  <c r="C30" i="9"/>
  <c r="O15" i="21" l="1"/>
  <c r="Q11" i="19"/>
  <c r="O11" i="19"/>
  <c r="I11" i="19"/>
  <c r="M11" i="19"/>
  <c r="G11" i="19"/>
  <c r="E11" i="19"/>
  <c r="G9" i="13"/>
  <c r="G8" i="13"/>
  <c r="G11" i="13" s="1"/>
  <c r="I10" i="13" s="1"/>
  <c r="C9" i="13"/>
  <c r="C8" i="13"/>
  <c r="C11" i="13" s="1"/>
  <c r="I11" i="7"/>
  <c r="M9" i="18"/>
  <c r="M8" i="18"/>
  <c r="M11" i="18" s="1"/>
  <c r="G9" i="18"/>
  <c r="G8" i="18"/>
  <c r="A3" i="21"/>
  <c r="A3" i="23"/>
  <c r="A3" i="19"/>
  <c r="A3" i="24"/>
  <c r="A3" i="18"/>
  <c r="A3" i="13"/>
  <c r="A3" i="9"/>
  <c r="A3" i="8"/>
  <c r="A3" i="7"/>
  <c r="A1" i="21"/>
  <c r="A1" i="23"/>
  <c r="A1" i="19"/>
  <c r="A1" i="24"/>
  <c r="A1" i="18"/>
  <c r="A1" i="13"/>
  <c r="A1" i="9"/>
  <c r="A1" i="8"/>
  <c r="A1" i="7"/>
  <c r="O12" i="9" l="1"/>
  <c r="O24" i="9"/>
  <c r="E18" i="9"/>
  <c r="O26" i="9"/>
  <c r="E20" i="9"/>
  <c r="O28" i="9"/>
  <c r="O17" i="9"/>
  <c r="E23" i="9"/>
  <c r="E25" i="9"/>
  <c r="O13" i="9"/>
  <c r="O25" i="9"/>
  <c r="E19" i="9"/>
  <c r="E10" i="9"/>
  <c r="I10" i="9" s="1"/>
  <c r="K10" i="9" s="1"/>
  <c r="O14" i="9"/>
  <c r="E11" i="9"/>
  <c r="I11" i="9" s="1"/>
  <c r="K11" i="9" s="1"/>
  <c r="O29" i="9"/>
  <c r="O18" i="9"/>
  <c r="O9" i="9"/>
  <c r="E24" i="9"/>
  <c r="O20" i="9"/>
  <c r="E14" i="9"/>
  <c r="E26" i="9"/>
  <c r="I26" i="9" s="1"/>
  <c r="K26" i="9" s="1"/>
  <c r="O11" i="9"/>
  <c r="E17" i="9"/>
  <c r="O15" i="9"/>
  <c r="E12" i="9"/>
  <c r="E13" i="9"/>
  <c r="O21" i="9"/>
  <c r="E15" i="9"/>
  <c r="E27" i="9"/>
  <c r="E29" i="9"/>
  <c r="O27" i="9"/>
  <c r="E9" i="9"/>
  <c r="O10" i="9"/>
  <c r="O22" i="9"/>
  <c r="E16" i="9"/>
  <c r="E28" i="9"/>
  <c r="O23" i="9"/>
  <c r="E21" i="9"/>
  <c r="E22" i="9"/>
  <c r="O16" i="9"/>
  <c r="O19" i="9"/>
  <c r="Q21" i="9"/>
  <c r="G14" i="9"/>
  <c r="G26" i="9"/>
  <c r="Q22" i="9"/>
  <c r="G15" i="9"/>
  <c r="G27" i="9"/>
  <c r="G16" i="9"/>
  <c r="G28" i="9"/>
  <c r="Q25" i="9"/>
  <c r="Q28" i="9"/>
  <c r="G21" i="9"/>
  <c r="Q23" i="9"/>
  <c r="Q24" i="9"/>
  <c r="S24" i="9" s="1"/>
  <c r="Q13" i="9"/>
  <c r="Q14" i="9"/>
  <c r="S14" i="9" s="1"/>
  <c r="Q15" i="9"/>
  <c r="S15" i="9" s="1"/>
  <c r="Q27" i="9"/>
  <c r="G20" i="9"/>
  <c r="Q16" i="9"/>
  <c r="Q17" i="9"/>
  <c r="Q29" i="9"/>
  <c r="G22" i="9"/>
  <c r="G13" i="9"/>
  <c r="G17" i="9"/>
  <c r="G18" i="9"/>
  <c r="G19" i="9"/>
  <c r="Q18" i="9"/>
  <c r="Q12" i="9"/>
  <c r="S12" i="9" s="1"/>
  <c r="G23" i="9"/>
  <c r="G29" i="9"/>
  <c r="G12" i="9"/>
  <c r="Q19" i="9"/>
  <c r="G24" i="9"/>
  <c r="G25" i="9"/>
  <c r="Q26" i="9"/>
  <c r="Q20" i="9"/>
  <c r="G11" i="18"/>
  <c r="E10" i="13"/>
  <c r="I9" i="9"/>
  <c r="K9" i="9" s="1"/>
  <c r="E8" i="13"/>
  <c r="D9" i="24"/>
  <c r="F9" i="24"/>
  <c r="F10" i="8" s="1"/>
  <c r="J10" i="8" s="1"/>
  <c r="S27" i="9" l="1"/>
  <c r="S22" i="9"/>
  <c r="S16" i="9"/>
  <c r="I16" i="9"/>
  <c r="K16" i="9" s="1"/>
  <c r="I17" i="9"/>
  <c r="K17" i="9" s="1"/>
  <c r="I19" i="9"/>
  <c r="K19" i="9" s="1"/>
  <c r="S25" i="9"/>
  <c r="I14" i="9"/>
  <c r="K14" i="9" s="1"/>
  <c r="I25" i="9"/>
  <c r="K25" i="9" s="1"/>
  <c r="S13" i="9"/>
  <c r="S20" i="9"/>
  <c r="I23" i="9"/>
  <c r="K23" i="9" s="1"/>
  <c r="I29" i="9"/>
  <c r="K29" i="9" s="1"/>
  <c r="I24" i="9"/>
  <c r="K24" i="9" s="1"/>
  <c r="S17" i="9"/>
  <c r="S19" i="9"/>
  <c r="I27" i="9"/>
  <c r="K27" i="9" s="1"/>
  <c r="S28" i="9"/>
  <c r="I15" i="9"/>
  <c r="K15" i="9" s="1"/>
  <c r="S18" i="9"/>
  <c r="I20" i="9"/>
  <c r="K20" i="9" s="1"/>
  <c r="I22" i="9"/>
  <c r="K22" i="9" s="1"/>
  <c r="S21" i="9"/>
  <c r="S29" i="9"/>
  <c r="S26" i="9"/>
  <c r="I21" i="9"/>
  <c r="K21" i="9" s="1"/>
  <c r="I13" i="9"/>
  <c r="K13" i="9" s="1"/>
  <c r="I18" i="9"/>
  <c r="K18" i="9" s="1"/>
  <c r="S23" i="9"/>
  <c r="I12" i="9"/>
  <c r="K12" i="9" s="1"/>
  <c r="I28" i="9"/>
  <c r="K28" i="9" s="1"/>
  <c r="S10" i="9"/>
  <c r="S9" i="9"/>
  <c r="S11" i="9"/>
  <c r="O30" i="9"/>
  <c r="Q30" i="9"/>
  <c r="I9" i="13"/>
  <c r="F9" i="8"/>
  <c r="J9" i="8" s="1"/>
  <c r="E30" i="9"/>
  <c r="I8" i="13"/>
  <c r="M30" i="9"/>
  <c r="E9" i="13"/>
  <c r="E11" i="13" s="1"/>
  <c r="I11" i="13" l="1"/>
  <c r="S30" i="9"/>
  <c r="F8" i="8" s="1"/>
  <c r="C11" i="7"/>
  <c r="E11" i="7"/>
  <c r="G11" i="7"/>
  <c r="J8" i="8" l="1"/>
  <c r="J11" i="8" s="1"/>
  <c r="F11" i="8"/>
  <c r="U17" i="9" l="1"/>
  <c r="U27" i="9"/>
  <c r="U25" i="9"/>
  <c r="U26" i="9"/>
  <c r="U19" i="9"/>
  <c r="U24" i="9"/>
  <c r="U29" i="9"/>
  <c r="U15" i="9"/>
  <c r="U23" i="9"/>
  <c r="U28" i="9"/>
  <c r="U22" i="9"/>
  <c r="U16" i="9"/>
  <c r="U13" i="9"/>
  <c r="U20" i="9"/>
  <c r="U14" i="9"/>
  <c r="U21" i="9"/>
  <c r="U12" i="9"/>
  <c r="U18" i="9"/>
  <c r="H9" i="8"/>
  <c r="H10" i="8"/>
  <c r="H8" i="8"/>
  <c r="U11" i="9"/>
  <c r="U10" i="9"/>
  <c r="U9" i="9"/>
  <c r="G30" i="9"/>
  <c r="H11" i="8" l="1"/>
  <c r="U30" i="9"/>
  <c r="K30" i="9"/>
  <c r="I30" i="9" l="1"/>
</calcChain>
</file>

<file path=xl/sharedStrings.xml><?xml version="1.0" encoding="utf-8"?>
<sst xmlns="http://schemas.openxmlformats.org/spreadsheetml/2006/main" count="279" uniqueCount="106">
  <si>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</si>
  <si>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</si>
  <si>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</si>
  <si>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</si>
  <si>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</si>
  <si>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</si>
  <si>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</si>
  <si>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</si>
  <si>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</si>
  <si>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</si>
  <si>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</si>
  <si>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</si>
  <si>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</si>
  <si>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</si>
  <si>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</si>
  <si>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</si>
  <si>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</si>
  <si>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تاریخ اعمال</t>
  </si>
  <si>
    <t>مبلغ</t>
  </si>
  <si>
    <t>افزایش</t>
  </si>
  <si>
    <t>کاهش</t>
  </si>
  <si>
    <t>سپرده کوتاه مدت بانک پاسارگاد جهان کودک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</si>
  <si>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</si>
  <si>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</si>
  <si>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</si>
  <si>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</si>
  <si>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</si>
  <si>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</si>
  <si>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</si>
  <si>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</si>
  <si>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</si>
  <si>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</si>
  <si>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</si>
  <si>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</si>
  <si>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</si>
  <si>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</si>
  <si>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</si>
  <si>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</si>
  <si>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</si>
  <si>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</si>
  <si>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</si>
  <si>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</si>
  <si>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</si>
  <si>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</si>
  <si>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</si>
  <si>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</si>
  <si>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</si>
  <si>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</si>
  <si>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</si>
  <si>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</si>
  <si>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</si>
  <si>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</si>
  <si>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</si>
  <si>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</si>
  <si>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</si>
  <si>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</si>
  <si>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</si>
  <si>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2-1-سرمایه‌گذاری در  سپرده‌ بانکی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</si>
  <si>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</si>
  <si>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</si>
  <si>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</si>
  <si>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</si>
  <si>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</si>
  <si>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</si>
  <si>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</si>
  <si>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</si>
  <si>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</si>
  <si>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</si>
  <si>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</si>
  <si>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</si>
  <si>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</si>
  <si>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</si>
  <si>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</si>
  <si>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</si>
  <si>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</si>
  <si>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</si>
  <si>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1404/11/19</t>
  </si>
  <si>
    <t>شمش نقره SilverBar</t>
  </si>
  <si>
    <t>موقعیت خرید</t>
  </si>
  <si>
    <t>اختیار خرید</t>
  </si>
  <si>
    <t>قیمت اعمال</t>
  </si>
  <si>
    <t>تعداد اوراق</t>
  </si>
  <si>
    <t>استراتژی ماخوذه</t>
  </si>
  <si>
    <t>نوع موقعیت</t>
  </si>
  <si>
    <t>نوع اختیار</t>
  </si>
  <si>
    <t>نام سهام</t>
  </si>
  <si>
    <t>1-1-سرمایه گذاری در شمش طلا و اختیار گواهی شمش طلا</t>
  </si>
  <si>
    <t>1405/08/19</t>
  </si>
  <si>
    <t>اطلاعات آماری مرتبط با موقعیت های اخذ شده در اوراق اختیار معامله توسط صندوق سرمایه گذاری:</t>
  </si>
  <si>
    <t>سپرده کوتاه مدت بانک گردشگری مرکزی</t>
  </si>
  <si>
    <t>درآمد حاصل از سرمایه گذاری در شمش و اختیار گواهی شمش</t>
  </si>
  <si>
    <t>1-2-درآمد حاصل از سرمایه گذاری در شمش و اختیار گواهی شمش</t>
  </si>
  <si>
    <t>1405/04/31</t>
  </si>
  <si>
    <t>سپرده کوتاه مدت بانک پاسارگاد</t>
  </si>
  <si>
    <t>سپرده کوتاه مدت بانک ملت</t>
  </si>
  <si>
    <t>سپرده کوتاه مدت بانک گردشگری</t>
  </si>
  <si>
    <t>‫برای ماه منتهی به 31 مرداد ماه 1405</t>
  </si>
  <si>
    <t>1405/05/31</t>
  </si>
  <si>
    <t>اختیار خرید گواهی سپرده پیوسته شمش طلای +995 GBAB05C1800 18000000.0000-1405/08/19</t>
  </si>
  <si>
    <t>اختیار خرید گواهی سپرده پیوسته شمش طلای +995 GBAB05C2000 20000000.0000-1405/08/19</t>
  </si>
  <si>
    <t>اختیار خرید گواهی سپرده پیوسته شمش طلای +995 GBAB05C2200 22000000.0000-1405/08/19</t>
  </si>
  <si>
    <t>اختیار خرید گواهی سپرده پیوسته شمش طلای +995 GBAB05C2400 24000000.0000-1405/08/19</t>
  </si>
  <si>
    <t>اختیار خرید گواهی سپرده پیوسته شمش طلای +995 GBBA05C1800 18000000.0000-1405/11/27</t>
  </si>
  <si>
    <t>اختیار خرید گواهی سپرده پیوسته شمش طلای +995 GBOR06C2000 20000000.0000-1406/02/18</t>
  </si>
  <si>
    <t>-</t>
  </si>
  <si>
    <t>برای ماه منتهی به 1405/05/31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</si>
</sst>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11" fillId="0" borderId="0"/>
    <xf numFmtId="164" fontId="14" fillId="0" borderId="0" applyFont="0" applyFill="0" applyBorder="0" applyAlignment="0" applyProtection="0"/>
    <xf numFmtId="0" fontId="1" fillId="0" borderId="0"/>
  </cellStyleXfs>
  <cellXfs count="10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38" fontId="5" fillId="0" borderId="5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7" fontId="5" fillId="0" borderId="7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38" fontId="5" fillId="0" borderId="2" xfId="0" applyNumberFormat="1" applyFont="1" applyBorder="1" applyAlignment="1">
      <alignment horizontal="right" vertical="center"/>
    </xf>
    <xf numFmtId="38" fontId="5" fillId="0" borderId="7" xfId="0" applyNumberFormat="1" applyFont="1" applyBorder="1" applyAlignment="1">
      <alignment horizontal="right" vertical="center"/>
    </xf>
    <xf numFmtId="37" fontId="5" fillId="0" borderId="5" xfId="0" applyNumberFormat="1" applyFont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40" fontId="5" fillId="0" borderId="0" xfId="0" applyNumberFormat="1" applyFont="1" applyAlignment="1">
      <alignment horizontal="right" vertical="center"/>
    </xf>
    <xf numFmtId="40" fontId="5" fillId="0" borderId="7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1" applyNumberFormat="1" applyAlignment="1">
      <alignment horizontal="left"/>
    </xf>
    <xf numFmtId="38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5" fillId="0" borderId="5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0" fontId="5" fillId="0" borderId="0" xfId="1" applyFont="1" applyAlignment="1">
      <alignment horizontal="right" vertical="top"/>
    </xf>
    <xf numFmtId="0" fontId="5" fillId="0" borderId="2" xfId="1" applyFont="1" applyBorder="1" applyAlignment="1">
      <alignment horizontal="right" vertical="top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top"/>
    </xf>
    <xf numFmtId="3" fontId="5" fillId="0" borderId="2" xfId="1" applyNumberFormat="1" applyFont="1" applyBorder="1" applyAlignment="1">
      <alignment horizontal="right" vertical="top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horizontal="right" vertical="top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dimension ref="A15:I27"/>
  <sheetViews>
    <sheetView rightToLeft="1" tabSelected="1" view="pageBreakPreview" topLeftCell="A10" zoomScaleNormal="100" zoomScaleSheetLayoutView="100" workbookViewId="0">
      <selection activeCell="N24" sqref="N24"/>
    </sheetView>
  </sheetViews>
  <sheetFormatPr defaultRowHeight="18.75"/>
  <cols>
    <col min="1" max="16384" width="9.140625" style="39"/>
  </cols>
  <sheetData>
    <row r="15" spans="1:9" ht="33.75" customHeight="1">
      <c r="A15" s="79" t="s">
        <v>75</v>
      </c>
      <c r="B15" s="79"/>
      <c r="C15" s="79"/>
      <c r="D15" s="79"/>
      <c r="E15" s="79"/>
      <c r="F15" s="79"/>
      <c r="G15" s="79"/>
      <c r="H15" s="79"/>
      <c r="I15" s="79"/>
    </row>
    <row r="16" spans="1:9" ht="33.75" customHeight="1">
      <c r="A16" s="79" t="s">
        <v>74</v>
      </c>
      <c r="B16" s="79"/>
      <c r="C16" s="79"/>
      <c r="D16" s="79"/>
      <c r="E16" s="79"/>
      <c r="F16" s="79"/>
      <c r="G16" s="79"/>
      <c r="H16" s="79"/>
      <c r="I16" s="79"/>
    </row>
    <row r="17" spans="1:9" ht="33.75" customHeight="1">
      <c r="A17" s="80" t="s">
        <v>73</v>
      </c>
      <c r="B17" s="80"/>
      <c r="C17" s="80"/>
      <c r="D17" s="80"/>
      <c r="E17" s="80"/>
      <c r="F17" s="80"/>
      <c r="G17" s="80"/>
      <c r="H17" s="80"/>
      <c r="I17" s="80"/>
    </row>
    <row r="18" spans="1:9" ht="33.75" customHeight="1">
      <c r="A18" s="79" t="s">
        <v>96</v>
      </c>
      <c r="B18" s="79"/>
      <c r="C18" s="79"/>
      <c r="D18" s="79"/>
      <c r="E18" s="79"/>
      <c r="F18" s="79"/>
      <c r="G18" s="79"/>
      <c r="H18" s="79"/>
      <c r="I18" s="79"/>
    </row>
    <row r="19" spans="1:9">
      <c r="A19" s="41"/>
      <c r="B19" s="41"/>
      <c r="C19" s="41"/>
      <c r="D19" s="41"/>
      <c r="E19" s="41"/>
      <c r="F19" s="41"/>
      <c r="G19" s="41"/>
      <c r="H19" s="41"/>
      <c r="I19" s="41"/>
    </row>
    <row r="20" spans="1:9">
      <c r="A20" s="41"/>
      <c r="B20" s="41"/>
      <c r="C20" s="41"/>
      <c r="D20" s="41"/>
      <c r="E20" s="41"/>
      <c r="F20" s="41"/>
      <c r="G20" s="41"/>
      <c r="H20" s="41"/>
      <c r="I20" s="41"/>
    </row>
    <row r="21" spans="1:9">
      <c r="A21" s="41"/>
      <c r="B21" s="41"/>
      <c r="C21" s="41"/>
      <c r="D21" s="41"/>
      <c r="E21" s="41"/>
      <c r="F21" s="41"/>
      <c r="G21" s="41"/>
      <c r="H21" s="41"/>
      <c r="I21" s="41"/>
    </row>
    <row r="22" spans="1:9">
      <c r="A22" s="41"/>
      <c r="B22" s="41"/>
      <c r="C22" s="41"/>
      <c r="D22" s="41"/>
      <c r="E22" s="41"/>
      <c r="F22" s="41"/>
      <c r="G22" s="41"/>
      <c r="H22" s="41"/>
      <c r="I22" s="41"/>
    </row>
    <row r="23" spans="1:9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34.5" customHeight="1">
      <c r="A24" s="41"/>
      <c r="B24" s="41"/>
      <c r="C24" s="41"/>
      <c r="D24" s="41"/>
      <c r="E24" s="41"/>
      <c r="F24" s="41"/>
      <c r="G24" s="41"/>
      <c r="H24" s="41"/>
      <c r="I24" s="41"/>
    </row>
    <row r="27" spans="1:9">
      <c r="C27" s="40" t="s">
        <v>72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18"/>
  <sheetViews>
    <sheetView rightToLeft="1" view="pageBreakPreview" zoomScale="118" zoomScaleNormal="100" zoomScaleSheetLayoutView="118" workbookViewId="0">
      <selection activeCell="M31" sqref="M31"/>
    </sheetView>
  </sheetViews>
  <sheetFormatPr defaultRowHeight="12.75"/>
  <cols>
    <col min="1" max="1" width="18.5703125" bestFit="1" customWidth="1"/>
    <col min="2" max="2" width="1.28515625" customWidth="1"/>
    <col min="3" max="3" width="7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1.85546875" bestFit="1" customWidth="1"/>
    <col min="10" max="10" width="1.28515625" customWidth="1"/>
    <col min="11" max="11" width="9" bestFit="1" customWidth="1"/>
    <col min="12" max="12" width="1.28515625" customWidth="1"/>
    <col min="13" max="13" width="19.710937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9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9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9" ht="14.45" customHeight="1"/>
    <row r="5" spans="1:19" ht="14.45" customHeight="1">
      <c r="A5" s="97" t="s">
        <v>45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9" ht="14.45" customHeight="1">
      <c r="A6" s="84" t="s">
        <v>25</v>
      </c>
      <c r="C6" s="84" t="s">
        <v>32</v>
      </c>
      <c r="D6" s="84"/>
      <c r="E6" s="84"/>
      <c r="F6" s="84"/>
      <c r="G6" s="84"/>
      <c r="H6" s="84"/>
      <c r="I6" s="84"/>
      <c r="K6" s="84" t="s">
        <v>33</v>
      </c>
      <c r="L6" s="84"/>
      <c r="M6" s="84"/>
      <c r="N6" s="84"/>
      <c r="O6" s="84"/>
      <c r="P6" s="84"/>
      <c r="Q6" s="84"/>
    </row>
    <row r="7" spans="1:19" ht="29.1" customHeight="1">
      <c r="A7" s="84"/>
      <c r="C7" s="7" t="s">
        <v>4</v>
      </c>
      <c r="D7" s="3"/>
      <c r="E7" s="7" t="s">
        <v>46</v>
      </c>
      <c r="F7" s="3"/>
      <c r="G7" s="7" t="s">
        <v>47</v>
      </c>
      <c r="H7" s="3"/>
      <c r="I7" s="7" t="s">
        <v>48</v>
      </c>
      <c r="K7" s="7" t="s">
        <v>4</v>
      </c>
      <c r="L7" s="3"/>
      <c r="M7" s="7" t="s">
        <v>46</v>
      </c>
      <c r="N7" s="3"/>
      <c r="O7" s="7" t="s">
        <v>47</v>
      </c>
      <c r="P7" s="3"/>
      <c r="Q7" s="7" t="s">
        <v>48</v>
      </c>
    </row>
    <row r="8" spans="1:19" ht="21.75" customHeight="1">
      <c r="A8" s="5" t="s">
        <v>15</v>
      </c>
      <c r="C8" s="11">
        <v>33000</v>
      </c>
      <c r="D8" s="11"/>
      <c r="E8" s="51">
        <v>808120489242</v>
      </c>
      <c r="F8" s="51"/>
      <c r="G8" s="51">
        <v>544040398427</v>
      </c>
      <c r="H8" s="51"/>
      <c r="I8" s="52">
        <f>E8-G8</f>
        <v>264080090815</v>
      </c>
      <c r="J8" s="51"/>
      <c r="K8" s="51">
        <v>588118</v>
      </c>
      <c r="L8" s="51"/>
      <c r="M8" s="51">
        <v>11237657848366</v>
      </c>
      <c r="N8" s="51"/>
      <c r="O8" s="51">
        <v>8071335107365</v>
      </c>
      <c r="P8" s="51"/>
      <c r="Q8" s="52">
        <f>M8-O8</f>
        <v>3166322741001</v>
      </c>
      <c r="R8" s="21"/>
      <c r="S8" s="21"/>
    </row>
    <row r="9" spans="1:19" ht="21.75" customHeight="1">
      <c r="A9" s="6" t="s">
        <v>37</v>
      </c>
      <c r="C9" s="12">
        <v>0</v>
      </c>
      <c r="D9" s="12"/>
      <c r="E9" s="52">
        <v>0</v>
      </c>
      <c r="F9" s="52"/>
      <c r="G9" s="52">
        <v>0</v>
      </c>
      <c r="H9" s="52"/>
      <c r="I9" s="52">
        <f t="shared" ref="I9:I10" si="0">E9-G9</f>
        <v>0</v>
      </c>
      <c r="J9" s="52"/>
      <c r="K9" s="52">
        <v>470</v>
      </c>
      <c r="L9" s="52"/>
      <c r="M9" s="52">
        <v>591232602928</v>
      </c>
      <c r="N9" s="52"/>
      <c r="O9" s="52">
        <v>548848187915</v>
      </c>
      <c r="P9" s="52"/>
      <c r="Q9" s="52">
        <f t="shared" ref="Q9:Q10" si="1">M9-O9</f>
        <v>42384415013</v>
      </c>
      <c r="R9" s="21"/>
    </row>
    <row r="10" spans="1:19" ht="21.75" customHeight="1">
      <c r="A10" s="6" t="s">
        <v>77</v>
      </c>
      <c r="C10" s="12">
        <v>0</v>
      </c>
      <c r="D10" s="12"/>
      <c r="E10" s="52">
        <v>0</v>
      </c>
      <c r="F10" s="52"/>
      <c r="G10" s="52">
        <v>0</v>
      </c>
      <c r="H10" s="52"/>
      <c r="I10" s="52">
        <f t="shared" si="0"/>
        <v>0</v>
      </c>
      <c r="J10" s="52"/>
      <c r="K10" s="52">
        <v>7000</v>
      </c>
      <c r="L10" s="52"/>
      <c r="M10" s="52">
        <v>38198140755</v>
      </c>
      <c r="N10" s="52"/>
      <c r="O10" s="52">
        <v>35552408356</v>
      </c>
      <c r="P10" s="52"/>
      <c r="Q10" s="52">
        <f t="shared" si="1"/>
        <v>2645732399</v>
      </c>
      <c r="R10" s="21"/>
    </row>
    <row r="11" spans="1:19" ht="21.75" customHeight="1" thickBot="1">
      <c r="A11" s="18"/>
      <c r="C11" s="12"/>
      <c r="D11" s="14"/>
      <c r="E11" s="53">
        <f>SUM(E8:E10)</f>
        <v>808120489242</v>
      </c>
      <c r="F11" s="54"/>
      <c r="G11" s="53">
        <f>SUM(G8:G10)</f>
        <v>544040398427</v>
      </c>
      <c r="H11" s="54"/>
      <c r="I11" s="53">
        <f>SUM(I8:I10)</f>
        <v>264080090815</v>
      </c>
      <c r="J11" s="54"/>
      <c r="K11" s="52"/>
      <c r="L11" s="54"/>
      <c r="M11" s="53">
        <f>SUM(M8:M10)</f>
        <v>11867088592049</v>
      </c>
      <c r="N11" s="54"/>
      <c r="O11" s="53">
        <f>SUM(O8:O10)</f>
        <v>8655735703636</v>
      </c>
      <c r="P11" s="54"/>
      <c r="Q11" s="53">
        <f>SUM(Q8:Q10)</f>
        <v>3211352888413</v>
      </c>
      <c r="R11" s="21"/>
    </row>
    <row r="12" spans="1:19" ht="13.5" thickTop="1">
      <c r="I12" s="21"/>
      <c r="Q12" s="38"/>
      <c r="R12" s="38"/>
    </row>
    <row r="13" spans="1:19">
      <c r="I13" s="21"/>
      <c r="Q13" s="21"/>
      <c r="R13" s="21"/>
    </row>
    <row r="14" spans="1:19">
      <c r="G14" s="71"/>
      <c r="I14" s="71"/>
      <c r="Q14" s="21"/>
    </row>
    <row r="15" spans="1:19">
      <c r="Q15" s="71"/>
    </row>
    <row r="16" spans="1:19">
      <c r="G16" s="71"/>
      <c r="Q16" s="21"/>
    </row>
    <row r="17" spans="7:17">
      <c r="G17" s="21"/>
      <c r="I17" s="71"/>
    </row>
    <row r="18" spans="7:17">
      <c r="Q18" s="7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pageSetUpPr fitToPage="1"/>
  </sheetPr>
  <dimension ref="A1:L24"/>
  <sheetViews>
    <sheetView rightToLeft="1" view="pageBreakPreview" zoomScale="96" zoomScaleNormal="100" zoomScaleSheetLayoutView="96" workbookViewId="0">
      <selection activeCell="A9" sqref="A9"/>
    </sheetView>
  </sheetViews>
  <sheetFormatPr defaultRowHeight="12.75"/>
  <cols>
    <col min="1" max="1" width="98.85546875" style="24" bestFit="1" customWidth="1"/>
    <col min="2" max="2" width="1.28515625" style="24" customWidth="1"/>
    <col min="3" max="3" width="11" style="24" bestFit="1" customWidth="1"/>
    <col min="4" max="4" width="1.28515625" style="24" customWidth="1"/>
    <col min="5" max="5" width="10.42578125" style="24" customWidth="1"/>
    <col min="6" max="6" width="16.140625" style="24" customWidth="1"/>
    <col min="7" max="7" width="1.28515625" style="24" customWidth="1"/>
    <col min="8" max="8" width="15.42578125" style="24" customWidth="1"/>
    <col min="9" max="9" width="1.28515625" style="24" customWidth="1"/>
    <col min="10" max="10" width="15.5703125" style="24" customWidth="1"/>
    <col min="11" max="11" width="1.28515625" style="24" customWidth="1"/>
    <col min="12" max="12" width="15.5703125" style="24" customWidth="1"/>
    <col min="13" max="16384" width="9.140625" style="24"/>
  </cols>
  <sheetData>
    <row r="1" spans="1:12" ht="25.5">
      <c r="A1" s="87" t="str">
        <f>'گواهی شمش'!A1</f>
        <v>صندوق سرمایه گذاری کالایی درفش دماوند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ht="25.5">
      <c r="A2" s="87" t="s">
        <v>22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2" ht="25.5">
      <c r="A3" s="87" t="str">
        <f>'گواهی شمش'!A3</f>
        <v>برای ماه منتهی به 1405/05/31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5" spans="1:12" ht="24">
      <c r="A5" s="86" t="s">
        <v>49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7" spans="1:12" ht="21">
      <c r="C7" s="88" t="s">
        <v>32</v>
      </c>
      <c r="D7" s="88"/>
      <c r="E7" s="88"/>
      <c r="F7" s="88"/>
      <c r="G7" s="88"/>
      <c r="H7" s="88"/>
      <c r="I7" s="88"/>
      <c r="J7" s="88"/>
      <c r="L7" s="27" t="s">
        <v>33</v>
      </c>
    </row>
    <row r="8" spans="1:12" ht="21">
      <c r="A8" s="27" t="s">
        <v>50</v>
      </c>
      <c r="C8" s="25" t="s">
        <v>17</v>
      </c>
      <c r="D8" s="26"/>
      <c r="E8" s="25" t="s">
        <v>4</v>
      </c>
      <c r="F8" s="25" t="s">
        <v>51</v>
      </c>
      <c r="G8" s="26"/>
      <c r="H8" s="25" t="s">
        <v>52</v>
      </c>
      <c r="I8" s="26"/>
      <c r="J8" s="25" t="s">
        <v>53</v>
      </c>
      <c r="L8" s="25" t="s">
        <v>53</v>
      </c>
    </row>
    <row r="9" spans="1:12" ht="18.75">
      <c r="A9" s="6" t="s">
        <v>59</v>
      </c>
      <c r="C9" s="28" t="s">
        <v>66</v>
      </c>
      <c r="E9" s="29">
        <v>0</v>
      </c>
      <c r="F9" s="29">
        <v>0</v>
      </c>
      <c r="G9" s="29"/>
      <c r="H9" s="29">
        <v>0</v>
      </c>
      <c r="I9" s="29"/>
      <c r="J9" s="29">
        <v>0</v>
      </c>
      <c r="K9" s="29"/>
      <c r="L9" s="29">
        <v>2323243497</v>
      </c>
    </row>
    <row r="10" spans="1:12" ht="18.75">
      <c r="A10" s="6" t="s">
        <v>60</v>
      </c>
      <c r="C10" s="28" t="s">
        <v>66</v>
      </c>
      <c r="E10" s="29">
        <v>0</v>
      </c>
      <c r="F10" s="29">
        <v>0</v>
      </c>
      <c r="G10" s="29"/>
      <c r="H10" s="29">
        <v>0</v>
      </c>
      <c r="I10" s="29"/>
      <c r="J10" s="29">
        <v>0</v>
      </c>
      <c r="K10" s="29"/>
      <c r="L10" s="29">
        <v>950536282</v>
      </c>
    </row>
    <row r="11" spans="1:12" ht="18.75">
      <c r="A11" s="6" t="s">
        <v>61</v>
      </c>
      <c r="C11" s="28" t="s">
        <v>66</v>
      </c>
      <c r="E11" s="29">
        <v>0</v>
      </c>
      <c r="F11" s="29">
        <v>0</v>
      </c>
      <c r="G11" s="29"/>
      <c r="H11" s="29">
        <v>0</v>
      </c>
      <c r="I11" s="29"/>
      <c r="J11" s="29">
        <v>0</v>
      </c>
      <c r="K11" s="29"/>
      <c r="L11" s="29">
        <v>11623371119</v>
      </c>
    </row>
    <row r="12" spans="1:12" ht="18.75">
      <c r="A12" s="6" t="s">
        <v>62</v>
      </c>
      <c r="C12" s="28" t="s">
        <v>66</v>
      </c>
      <c r="E12" s="29">
        <v>0</v>
      </c>
      <c r="F12" s="29">
        <v>0</v>
      </c>
      <c r="G12" s="29"/>
      <c r="H12" s="29">
        <v>0</v>
      </c>
      <c r="I12" s="29"/>
      <c r="J12" s="29">
        <v>0</v>
      </c>
      <c r="K12" s="29"/>
      <c r="L12" s="29">
        <v>9403317173</v>
      </c>
    </row>
    <row r="13" spans="1:12" ht="18.75">
      <c r="A13" s="6" t="s">
        <v>63</v>
      </c>
      <c r="C13" s="28" t="s">
        <v>66</v>
      </c>
      <c r="E13" s="29">
        <v>0</v>
      </c>
      <c r="F13" s="29">
        <v>0</v>
      </c>
      <c r="G13" s="29"/>
      <c r="H13" s="29">
        <v>0</v>
      </c>
      <c r="I13" s="29"/>
      <c r="J13" s="29">
        <v>0</v>
      </c>
      <c r="K13" s="29"/>
      <c r="L13" s="29">
        <v>3737822385</v>
      </c>
    </row>
    <row r="14" spans="1:12" ht="18.75">
      <c r="A14" s="6" t="s">
        <v>64</v>
      </c>
      <c r="C14" s="28" t="s">
        <v>66</v>
      </c>
      <c r="E14" s="29">
        <v>0</v>
      </c>
      <c r="F14" s="29">
        <v>0</v>
      </c>
      <c r="G14" s="29"/>
      <c r="H14" s="29">
        <v>0</v>
      </c>
      <c r="I14" s="29"/>
      <c r="J14" s="29">
        <v>0</v>
      </c>
      <c r="K14" s="29"/>
      <c r="L14" s="29">
        <v>993815288</v>
      </c>
    </row>
    <row r="15" spans="1:12" ht="18.75">
      <c r="A15" s="6" t="s">
        <v>65</v>
      </c>
      <c r="C15" s="28" t="s">
        <v>66</v>
      </c>
      <c r="E15" s="29">
        <v>0</v>
      </c>
      <c r="F15" s="29">
        <v>0</v>
      </c>
      <c r="G15" s="29"/>
      <c r="H15" s="29">
        <v>0</v>
      </c>
      <c r="I15" s="29"/>
      <c r="J15" s="29">
        <v>0</v>
      </c>
      <c r="K15" s="29"/>
      <c r="L15" s="29">
        <v>824652506</v>
      </c>
    </row>
    <row r="16" spans="1:12" ht="18.75">
      <c r="A16" s="6" t="s">
        <v>10</v>
      </c>
      <c r="C16" s="28" t="s">
        <v>76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/>
      <c r="L16" s="29">
        <v>7851327396</v>
      </c>
    </row>
    <row r="17" spans="1:12" ht="18.75">
      <c r="A17" s="6" t="s">
        <v>11</v>
      </c>
      <c r="C17" s="28" t="s">
        <v>76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/>
      <c r="L17" s="29">
        <v>13506334256</v>
      </c>
    </row>
    <row r="18" spans="1:12" ht="18.75">
      <c r="A18" s="6" t="s">
        <v>12</v>
      </c>
      <c r="C18" s="28" t="s">
        <v>76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/>
      <c r="L18" s="29">
        <v>12192942597</v>
      </c>
    </row>
    <row r="19" spans="1:12" ht="18.75">
      <c r="A19" s="6" t="s">
        <v>13</v>
      </c>
      <c r="C19" s="28" t="s">
        <v>76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/>
      <c r="L19" s="29">
        <v>21986883549</v>
      </c>
    </row>
    <row r="20" spans="1:12" ht="18.75">
      <c r="A20" s="6" t="s">
        <v>14</v>
      </c>
      <c r="C20" s="28" t="s">
        <v>76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/>
      <c r="L20" s="29">
        <v>7953236119</v>
      </c>
    </row>
    <row r="21" spans="1:12" ht="18.75">
      <c r="A21" s="6" t="s">
        <v>98</v>
      </c>
      <c r="C21" s="28" t="s">
        <v>87</v>
      </c>
      <c r="E21" s="29">
        <v>69</v>
      </c>
      <c r="F21" s="29">
        <v>-1242000</v>
      </c>
      <c r="G21" s="29"/>
      <c r="H21" s="29">
        <v>0</v>
      </c>
      <c r="I21" s="29"/>
      <c r="J21" s="29">
        <v>200237862</v>
      </c>
      <c r="K21" s="29"/>
      <c r="L21" s="29">
        <v>200237862</v>
      </c>
    </row>
    <row r="22" spans="1:12" ht="18.75">
      <c r="A22" s="6" t="s">
        <v>99</v>
      </c>
      <c r="C22" s="28" t="s">
        <v>87</v>
      </c>
      <c r="E22" s="29">
        <v>1</v>
      </c>
      <c r="F22" s="29">
        <v>0</v>
      </c>
      <c r="G22" s="29"/>
      <c r="H22" s="29">
        <v>0</v>
      </c>
      <c r="I22" s="29"/>
      <c r="J22" s="29">
        <v>3388121</v>
      </c>
      <c r="K22" s="29"/>
      <c r="L22" s="29">
        <v>3388121</v>
      </c>
    </row>
    <row r="23" spans="1:12" ht="19.5" thickBot="1">
      <c r="E23" s="30">
        <f>SUM(E9:E22)</f>
        <v>70</v>
      </c>
      <c r="F23" s="30">
        <f>SUM(F9:F22)</f>
        <v>-1242000</v>
      </c>
      <c r="G23" s="29"/>
      <c r="H23" s="30">
        <f>SUM(H22)</f>
        <v>0</v>
      </c>
      <c r="I23" s="29"/>
      <c r="J23" s="30">
        <f>SUM(J9:J22)</f>
        <v>203625983</v>
      </c>
      <c r="K23" s="29"/>
      <c r="L23" s="30">
        <f>SUM(L9:L22)</f>
        <v>93551108150</v>
      </c>
    </row>
    <row r="24" spans="1:12" ht="13.5" thickTop="1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0"/>
  <sheetViews>
    <sheetView rightToLeft="1" view="pageBreakPreview" zoomScaleNormal="100" zoomScaleSheetLayoutView="100" workbookViewId="0">
      <selection activeCell="G18" sqref="G18"/>
    </sheetView>
  </sheetViews>
  <sheetFormatPr defaultRowHeight="12.75"/>
  <cols>
    <col min="1" max="1" width="81.28515625" bestFit="1" customWidth="1"/>
    <col min="2" max="2" width="1.28515625" customWidth="1"/>
    <col min="3" max="3" width="10.5703125" bestFit="1" customWidth="1"/>
    <col min="4" max="4" width="1.28515625" customWidth="1"/>
    <col min="5" max="5" width="19.7109375" bestFit="1" customWidth="1"/>
    <col min="6" max="6" width="1.28515625" customWidth="1"/>
    <col min="7" max="7" width="19.7109375" bestFit="1" customWidth="1"/>
    <col min="8" max="8" width="1.28515625" customWidth="1"/>
    <col min="9" max="9" width="26.42578125" bestFit="1" customWidth="1"/>
    <col min="10" max="10" width="1.28515625" customWidth="1"/>
    <col min="11" max="11" width="10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7.5703125" bestFit="1" customWidth="1"/>
  </cols>
  <sheetData>
    <row r="1" spans="1:18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8" ht="14.45" customHeight="1"/>
    <row r="5" spans="1:18" ht="14.45" customHeight="1">
      <c r="A5" s="97" t="s">
        <v>54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</row>
    <row r="6" spans="1:18" ht="14.45" customHeight="1">
      <c r="A6" s="84" t="s">
        <v>25</v>
      </c>
      <c r="C6" s="84" t="s">
        <v>32</v>
      </c>
      <c r="D6" s="84"/>
      <c r="E6" s="84"/>
      <c r="F6" s="84"/>
      <c r="G6" s="84"/>
      <c r="H6" s="84"/>
      <c r="I6" s="84"/>
      <c r="K6" s="84" t="s">
        <v>33</v>
      </c>
      <c r="L6" s="84"/>
      <c r="M6" s="84"/>
      <c r="N6" s="84"/>
      <c r="O6" s="84"/>
      <c r="P6" s="84"/>
      <c r="Q6" s="84"/>
    </row>
    <row r="7" spans="1:18" ht="29.1" customHeight="1">
      <c r="A7" s="84"/>
      <c r="C7" s="7" t="s">
        <v>4</v>
      </c>
      <c r="D7" s="3"/>
      <c r="E7" s="7" t="s">
        <v>6</v>
      </c>
      <c r="F7" s="3"/>
      <c r="G7" s="7" t="s">
        <v>47</v>
      </c>
      <c r="H7" s="3"/>
      <c r="I7" s="7" t="s">
        <v>55</v>
      </c>
      <c r="K7" s="7" t="s">
        <v>4</v>
      </c>
      <c r="L7" s="3"/>
      <c r="M7" s="7" t="s">
        <v>6</v>
      </c>
      <c r="N7" s="3"/>
      <c r="O7" s="7" t="s">
        <v>47</v>
      </c>
      <c r="P7" s="3"/>
      <c r="Q7" s="7" t="s">
        <v>55</v>
      </c>
    </row>
    <row r="8" spans="1:18" ht="21.75" customHeight="1">
      <c r="A8" s="6" t="s">
        <v>15</v>
      </c>
      <c r="C8" s="55">
        <v>1208000</v>
      </c>
      <c r="D8" s="56"/>
      <c r="E8" s="55">
        <v>33742822400000</v>
      </c>
      <c r="F8" s="56"/>
      <c r="G8" s="55">
        <v>30501246295643</v>
      </c>
      <c r="H8" s="56"/>
      <c r="I8" s="55">
        <f>E8-G8</f>
        <v>3241576104357</v>
      </c>
      <c r="J8" s="56"/>
      <c r="K8" s="55">
        <v>1208000</v>
      </c>
      <c r="L8" s="56"/>
      <c r="M8" s="55">
        <v>33742822400000</v>
      </c>
      <c r="N8" s="56"/>
      <c r="O8" s="55">
        <v>20790799393788</v>
      </c>
      <c r="P8" s="56"/>
      <c r="Q8" s="55">
        <f>M8-O8</f>
        <v>12952023006212</v>
      </c>
      <c r="R8" s="21"/>
    </row>
    <row r="9" spans="1:18" ht="21.75" customHeight="1">
      <c r="A9" s="6" t="s">
        <v>98</v>
      </c>
      <c r="C9" s="55">
        <v>52070</v>
      </c>
      <c r="D9" s="56"/>
      <c r="E9" s="55">
        <v>722904472400</v>
      </c>
      <c r="F9" s="56"/>
      <c r="G9" s="55">
        <v>522461260853</v>
      </c>
      <c r="H9" s="56"/>
      <c r="I9" s="55">
        <f t="shared" ref="I9:I14" si="0">E9-G9</f>
        <v>200443211547</v>
      </c>
      <c r="J9" s="56"/>
      <c r="K9" s="55">
        <v>52070</v>
      </c>
      <c r="L9" s="56"/>
      <c r="M9" s="55">
        <v>722904472400</v>
      </c>
      <c r="N9" s="56"/>
      <c r="O9" s="55">
        <v>629952107317</v>
      </c>
      <c r="P9" s="56"/>
      <c r="Q9" s="55">
        <f t="shared" ref="Q9:Q14" si="1">M9-O9</f>
        <v>92952365083</v>
      </c>
      <c r="R9" s="21"/>
    </row>
    <row r="10" spans="1:18" ht="21.75" customHeight="1">
      <c r="A10" s="6" t="s">
        <v>102</v>
      </c>
      <c r="C10" s="55">
        <v>5000</v>
      </c>
      <c r="D10" s="55"/>
      <c r="E10" s="55">
        <v>69916000000</v>
      </c>
      <c r="F10" s="55"/>
      <c r="G10" s="55">
        <v>61586420294</v>
      </c>
      <c r="H10" s="55"/>
      <c r="I10" s="55">
        <f t="shared" si="0"/>
        <v>8329579706</v>
      </c>
      <c r="J10" s="55"/>
      <c r="K10" s="55">
        <v>5000</v>
      </c>
      <c r="L10" s="55"/>
      <c r="M10" s="55">
        <v>69916000000</v>
      </c>
      <c r="N10" s="55"/>
      <c r="O10" s="55">
        <v>65314618621</v>
      </c>
      <c r="P10" s="56"/>
      <c r="Q10" s="55">
        <f t="shared" si="1"/>
        <v>4601381379</v>
      </c>
      <c r="R10" s="21"/>
    </row>
    <row r="11" spans="1:18" ht="21.75" customHeight="1">
      <c r="A11" s="6" t="s">
        <v>101</v>
      </c>
      <c r="C11" s="55">
        <v>9270</v>
      </c>
      <c r="D11" s="56"/>
      <c r="E11" s="55">
        <v>83329884000</v>
      </c>
      <c r="F11" s="56"/>
      <c r="G11" s="55">
        <v>64111292828</v>
      </c>
      <c r="H11" s="56"/>
      <c r="I11" s="55">
        <f t="shared" si="0"/>
        <v>19218591172</v>
      </c>
      <c r="J11" s="56"/>
      <c r="K11" s="55">
        <v>9270</v>
      </c>
      <c r="L11" s="56"/>
      <c r="M11" s="55">
        <v>83329884000</v>
      </c>
      <c r="N11" s="56"/>
      <c r="O11" s="55">
        <v>74482207081</v>
      </c>
      <c r="P11" s="56"/>
      <c r="Q11" s="55">
        <f t="shared" si="1"/>
        <v>8847676919</v>
      </c>
      <c r="R11" s="21"/>
    </row>
    <row r="12" spans="1:18" ht="21.75" customHeight="1">
      <c r="A12" s="6" t="s">
        <v>99</v>
      </c>
      <c r="C12" s="55">
        <v>20500</v>
      </c>
      <c r="D12" s="56"/>
      <c r="E12" s="55">
        <v>251847092393</v>
      </c>
      <c r="F12" s="56"/>
      <c r="G12" s="55">
        <v>164220206620</v>
      </c>
      <c r="H12" s="56"/>
      <c r="I12" s="55">
        <f t="shared" si="0"/>
        <v>87626885773</v>
      </c>
      <c r="J12" s="56"/>
      <c r="K12" s="55">
        <v>20500</v>
      </c>
      <c r="L12" s="56"/>
      <c r="M12" s="55">
        <v>251847092393</v>
      </c>
      <c r="N12" s="56"/>
      <c r="O12" s="55">
        <v>217533689208</v>
      </c>
      <c r="P12" s="56"/>
      <c r="Q12" s="55">
        <f t="shared" si="1"/>
        <v>34313403185</v>
      </c>
      <c r="R12" s="21"/>
    </row>
    <row r="13" spans="1:18" ht="21.75" customHeight="1">
      <c r="A13" s="6" t="s">
        <v>100</v>
      </c>
      <c r="C13" s="55">
        <v>29385</v>
      </c>
      <c r="D13" s="56"/>
      <c r="E13" s="55">
        <v>261212668200</v>
      </c>
      <c r="F13" s="56"/>
      <c r="G13" s="55">
        <v>199195812461</v>
      </c>
      <c r="H13" s="56"/>
      <c r="I13" s="55">
        <f t="shared" si="0"/>
        <v>62016855739</v>
      </c>
      <c r="J13" s="56"/>
      <c r="K13" s="55">
        <v>29385</v>
      </c>
      <c r="L13" s="56"/>
      <c r="M13" s="55">
        <v>261212668200</v>
      </c>
      <c r="N13" s="56"/>
      <c r="O13" s="55">
        <v>263060435340</v>
      </c>
      <c r="P13" s="56"/>
      <c r="Q13" s="55">
        <f t="shared" si="1"/>
        <v>-1847767140</v>
      </c>
      <c r="R13" s="21"/>
    </row>
    <row r="14" spans="1:18" ht="21.75" customHeight="1">
      <c r="A14" s="6" t="s">
        <v>103</v>
      </c>
      <c r="C14" s="55">
        <v>5000</v>
      </c>
      <c r="D14" s="56"/>
      <c r="E14" s="55">
        <v>75176729540</v>
      </c>
      <c r="F14" s="56"/>
      <c r="G14" s="55">
        <v>75308525037</v>
      </c>
      <c r="H14" s="56"/>
      <c r="I14" s="55">
        <f t="shared" si="0"/>
        <v>-131795497</v>
      </c>
      <c r="J14" s="56"/>
      <c r="K14" s="55">
        <v>5000</v>
      </c>
      <c r="L14" s="56"/>
      <c r="M14" s="55">
        <v>75176729540</v>
      </c>
      <c r="N14" s="56"/>
      <c r="O14" s="55">
        <v>75308525037</v>
      </c>
      <c r="P14" s="56"/>
      <c r="Q14" s="55">
        <f t="shared" si="1"/>
        <v>-131795497</v>
      </c>
      <c r="R14" s="21"/>
    </row>
    <row r="15" spans="1:18" ht="21.75" customHeight="1" thickBot="1">
      <c r="A15" s="18"/>
      <c r="C15" s="55"/>
      <c r="D15" s="56"/>
      <c r="E15" s="57">
        <f>SUM(E8:E14)</f>
        <v>35207209246533</v>
      </c>
      <c r="F15" s="56"/>
      <c r="G15" s="57">
        <f>SUM(G8:G14)</f>
        <v>31588129813736</v>
      </c>
      <c r="H15" s="56"/>
      <c r="I15" s="57">
        <f>SUM(I8:I14)</f>
        <v>3619079432797</v>
      </c>
      <c r="J15" s="56"/>
      <c r="K15" s="55"/>
      <c r="L15" s="56"/>
      <c r="M15" s="57">
        <f>SUM(M8:M14)</f>
        <v>35207209246533</v>
      </c>
      <c r="N15" s="56"/>
      <c r="O15" s="57">
        <f>SUM(O8:O14)</f>
        <v>22116450976392</v>
      </c>
      <c r="P15" s="56"/>
      <c r="Q15" s="57">
        <f>SUM(Q8:Q14)</f>
        <v>13090758270141</v>
      </c>
      <c r="R15" s="21"/>
    </row>
    <row r="16" spans="1:18" ht="13.5" thickTop="1">
      <c r="Q16" s="71"/>
      <c r="R16" s="21"/>
    </row>
    <row r="17" spans="9:17" ht="18.75">
      <c r="I17" s="55"/>
      <c r="Q17" s="12"/>
    </row>
    <row r="18" spans="9:17" ht="18.75">
      <c r="I18" s="55"/>
      <c r="Q18" s="12"/>
    </row>
    <row r="20" spans="9:17">
      <c r="I20" s="21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view="pageBreakPreview" topLeftCell="B1" zoomScaleNormal="100" zoomScaleSheetLayoutView="100" workbookViewId="0">
      <selection activeCell="E25" sqref="E25"/>
    </sheetView>
  </sheetViews>
  <sheetFormatPr defaultRowHeight="12.75"/>
  <cols>
    <col min="1" max="1" width="81.28515625" bestFit="1" customWidth="1"/>
    <col min="2" max="2" width="2.42578125" customWidth="1"/>
    <col min="3" max="3" width="10.5703125" bestFit="1" customWidth="1"/>
    <col min="4" max="4" width="1.28515625" customWidth="1"/>
    <col min="5" max="5" width="19.5703125" bestFit="1" customWidth="1"/>
    <col min="6" max="6" width="1.28515625" customWidth="1"/>
    <col min="7" max="7" width="19.7109375" bestFit="1" customWidth="1"/>
    <col min="8" max="8" width="1.28515625" customWidth="1"/>
    <col min="9" max="9" width="7.85546875" bestFit="1" customWidth="1"/>
    <col min="10" max="10" width="1.28515625" customWidth="1"/>
    <col min="11" max="11" width="18.5703125" bestFit="1" customWidth="1"/>
    <col min="12" max="12" width="1.28515625" customWidth="1"/>
    <col min="13" max="13" width="8.5703125" bestFit="1" customWidth="1"/>
    <col min="14" max="14" width="1.28515625" customWidth="1"/>
    <col min="15" max="15" width="18.28515625" bestFit="1" customWidth="1"/>
    <col min="16" max="16" width="1.28515625" customWidth="1"/>
    <col min="17" max="17" width="10.5703125" bestFit="1" customWidth="1"/>
    <col min="18" max="18" width="1.28515625" customWidth="1"/>
    <col min="19" max="19" width="16.140625" bestFit="1" customWidth="1"/>
    <col min="20" max="20" width="1.28515625" customWidth="1"/>
    <col min="21" max="21" width="19.5703125" bestFit="1" customWidth="1"/>
    <col min="22" max="22" width="1.28515625" customWidth="1"/>
    <col min="23" max="23" width="19.5703125" bestFit="1" customWidth="1"/>
    <col min="24" max="24" width="1.28515625" customWidth="1"/>
    <col min="25" max="25" width="18.28515625" customWidth="1"/>
    <col min="26" max="26" width="19.710937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8" ht="29.1" customHeight="1">
      <c r="A1" s="83" t="s">
        <v>75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8" ht="21.75" customHeight="1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8" ht="21.75" customHeight="1">
      <c r="A3" s="83" t="s">
        <v>105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8" ht="14.45" customHeight="1">
      <c r="A4" s="82" t="s">
        <v>56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8" ht="14.45" customHeight="1">
      <c r="A5" s="82" t="s">
        <v>86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</row>
    <row r="6" spans="1:28" ht="14.45" customHeight="1">
      <c r="C6" s="84" t="s">
        <v>92</v>
      </c>
      <c r="D6" s="84"/>
      <c r="E6" s="84"/>
      <c r="F6" s="84"/>
      <c r="G6" s="84"/>
      <c r="I6" s="84" t="s">
        <v>1</v>
      </c>
      <c r="J6" s="84"/>
      <c r="K6" s="84"/>
      <c r="L6" s="84"/>
      <c r="M6" s="84"/>
      <c r="N6" s="84"/>
      <c r="O6" s="84"/>
      <c r="Q6" s="84" t="s">
        <v>97</v>
      </c>
      <c r="R6" s="84"/>
      <c r="S6" s="84"/>
      <c r="T6" s="84"/>
      <c r="U6" s="84"/>
      <c r="V6" s="84"/>
      <c r="W6" s="84"/>
      <c r="X6" s="84"/>
      <c r="Y6" s="84"/>
    </row>
    <row r="7" spans="1:28" ht="14.45" customHeight="1">
      <c r="C7" s="3"/>
      <c r="D7" s="3"/>
      <c r="E7" s="3"/>
      <c r="F7" s="3"/>
      <c r="G7" s="3"/>
      <c r="I7" s="81" t="s">
        <v>2</v>
      </c>
      <c r="J7" s="81"/>
      <c r="K7" s="81"/>
      <c r="L7" s="3"/>
      <c r="M7" s="81" t="s">
        <v>3</v>
      </c>
      <c r="N7" s="81"/>
      <c r="O7" s="81"/>
      <c r="Q7" s="3"/>
      <c r="R7" s="3"/>
      <c r="S7" s="3"/>
      <c r="T7" s="3"/>
      <c r="U7" s="3"/>
      <c r="V7" s="3"/>
      <c r="W7" s="3"/>
      <c r="X7" s="3"/>
      <c r="Y7" s="3"/>
    </row>
    <row r="8" spans="1:28" ht="14.45" customHeight="1">
      <c r="A8" s="2"/>
      <c r="C8" s="45" t="s">
        <v>4</v>
      </c>
      <c r="E8" s="45" t="s">
        <v>5</v>
      </c>
      <c r="G8" s="45" t="s">
        <v>6</v>
      </c>
      <c r="I8" s="46" t="s">
        <v>4</v>
      </c>
      <c r="J8" s="3"/>
      <c r="K8" s="46" t="s">
        <v>5</v>
      </c>
      <c r="M8" s="46" t="s">
        <v>4</v>
      </c>
      <c r="N8" s="3"/>
      <c r="O8" s="46" t="s">
        <v>7</v>
      </c>
      <c r="Q8" s="45" t="s">
        <v>4</v>
      </c>
      <c r="S8" s="45" t="s">
        <v>8</v>
      </c>
      <c r="U8" s="45" t="s">
        <v>5</v>
      </c>
      <c r="W8" s="45" t="s">
        <v>6</v>
      </c>
      <c r="Y8" s="2" t="s">
        <v>9</v>
      </c>
    </row>
    <row r="9" spans="1:28" ht="21.75" customHeight="1">
      <c r="A9" s="8" t="s">
        <v>15</v>
      </c>
      <c r="C9" s="55">
        <v>1165000</v>
      </c>
      <c r="D9" s="56"/>
      <c r="E9" s="55">
        <v>16673992309219</v>
      </c>
      <c r="F9" s="56"/>
      <c r="G9" s="55">
        <v>28985356137960</v>
      </c>
      <c r="H9" s="56"/>
      <c r="I9" s="55">
        <v>76000</v>
      </c>
      <c r="J9" s="56"/>
      <c r="K9" s="55">
        <v>2061874711148</v>
      </c>
      <c r="L9" s="56"/>
      <c r="M9" s="55">
        <v>-33000</v>
      </c>
      <c r="N9" s="56"/>
      <c r="O9" s="55">
        <v>808120489242</v>
      </c>
      <c r="P9" s="56"/>
      <c r="Q9" s="55">
        <v>1208000</v>
      </c>
      <c r="R9" s="56"/>
      <c r="S9" s="55">
        <v>28000000</v>
      </c>
      <c r="T9" s="56"/>
      <c r="U9" s="55">
        <v>18263556508601</v>
      </c>
      <c r="V9" s="56"/>
      <c r="W9" s="55">
        <v>33742822400000</v>
      </c>
      <c r="X9" s="48"/>
      <c r="Y9" s="60">
        <f>W9/35221920536640*100</f>
        <v>95.800631782411315</v>
      </c>
      <c r="Z9" s="71"/>
      <c r="AA9" s="21"/>
      <c r="AB9" s="21"/>
    </row>
    <row r="10" spans="1:28" ht="21.75" customHeight="1">
      <c r="A10" s="8" t="s">
        <v>98</v>
      </c>
      <c r="C10" s="55">
        <v>51295</v>
      </c>
      <c r="D10" s="55"/>
      <c r="E10" s="55">
        <v>622541633189</v>
      </c>
      <c r="F10" s="55"/>
      <c r="G10" s="55">
        <v>515050786725</v>
      </c>
      <c r="H10" s="55"/>
      <c r="I10" s="55">
        <v>844</v>
      </c>
      <c r="J10" s="55"/>
      <c r="K10" s="55">
        <v>8245236268.6595001</v>
      </c>
      <c r="L10" s="55"/>
      <c r="M10" s="55">
        <v>-69</v>
      </c>
      <c r="N10" s="55"/>
      <c r="O10" s="55">
        <v>1033758000</v>
      </c>
      <c r="P10" s="55"/>
      <c r="Q10" s="55">
        <v>52070</v>
      </c>
      <c r="R10" s="55"/>
      <c r="S10" s="55">
        <v>13900000</v>
      </c>
      <c r="T10" s="55"/>
      <c r="U10" s="55">
        <v>629952107317</v>
      </c>
      <c r="V10" s="55"/>
      <c r="W10" s="55">
        <v>722904472400</v>
      </c>
      <c r="X10" s="48"/>
      <c r="Y10" s="60">
        <f>W10/35221920536640*100</f>
        <v>2.0524277534724167</v>
      </c>
      <c r="Z10" s="71"/>
      <c r="AA10" s="21"/>
      <c r="AB10" s="21"/>
    </row>
    <row r="11" spans="1:28" ht="21.75" customHeight="1">
      <c r="A11" s="8" t="s">
        <v>99</v>
      </c>
      <c r="C11" s="55">
        <v>20228</v>
      </c>
      <c r="D11" s="55"/>
      <c r="E11" s="55">
        <v>214991840988</v>
      </c>
      <c r="F11" s="55"/>
      <c r="G11" s="55">
        <v>161678358400</v>
      </c>
      <c r="H11" s="55"/>
      <c r="I11" s="55">
        <v>273</v>
      </c>
      <c r="J11" s="55"/>
      <c r="K11" s="55">
        <v>2552460101.0050998</v>
      </c>
      <c r="L11" s="55"/>
      <c r="M11" s="55">
        <v>-1</v>
      </c>
      <c r="N11" s="55"/>
      <c r="O11" s="55">
        <v>13983201</v>
      </c>
      <c r="P11" s="55"/>
      <c r="Q11" s="55">
        <v>20500</v>
      </c>
      <c r="R11" s="55"/>
      <c r="S11" s="55">
        <v>12299984</v>
      </c>
      <c r="T11" s="55"/>
      <c r="U11" s="55">
        <v>217533689208</v>
      </c>
      <c r="V11" s="55"/>
      <c r="W11" s="55">
        <v>251847092393</v>
      </c>
      <c r="X11" s="48"/>
      <c r="Y11" s="60">
        <f t="shared" ref="Y11:Y15" si="0">W11/35221920536640*100</f>
        <v>0.71502941507977469</v>
      </c>
      <c r="Z11" s="71"/>
      <c r="AA11" s="21"/>
      <c r="AB11" s="21"/>
    </row>
    <row r="12" spans="1:28" ht="21.75" customHeight="1">
      <c r="A12" s="8" t="s">
        <v>100</v>
      </c>
      <c r="C12" s="55">
        <v>28355</v>
      </c>
      <c r="D12" s="56"/>
      <c r="E12" s="55">
        <v>256505090279</v>
      </c>
      <c r="F12" s="56"/>
      <c r="G12" s="55">
        <v>192640467400</v>
      </c>
      <c r="H12" s="56"/>
      <c r="I12" s="55">
        <v>1030</v>
      </c>
      <c r="J12" s="56"/>
      <c r="K12" s="55">
        <v>6555345063.8325005</v>
      </c>
      <c r="L12" s="56"/>
      <c r="M12" s="55">
        <v>0</v>
      </c>
      <c r="N12" s="56"/>
      <c r="O12" s="55">
        <v>0</v>
      </c>
      <c r="P12" s="56"/>
      <c r="Q12" s="55">
        <v>29385</v>
      </c>
      <c r="R12" s="56"/>
      <c r="S12" s="55">
        <v>8900000</v>
      </c>
      <c r="T12" s="56"/>
      <c r="U12" s="55">
        <v>263060435340</v>
      </c>
      <c r="V12" s="56"/>
      <c r="W12" s="55">
        <v>261212668200</v>
      </c>
      <c r="X12" s="48"/>
      <c r="Y12" s="60">
        <f t="shared" si="0"/>
        <v>0.74161960568922014</v>
      </c>
      <c r="Z12" s="71"/>
      <c r="AA12" s="21"/>
      <c r="AB12" s="21"/>
    </row>
    <row r="13" spans="1:28" ht="21.75" customHeight="1">
      <c r="A13" s="8" t="s">
        <v>101</v>
      </c>
      <c r="C13" s="55">
        <v>8970</v>
      </c>
      <c r="D13" s="56"/>
      <c r="E13" s="55">
        <v>73104403253</v>
      </c>
      <c r="F13" s="56"/>
      <c r="G13" s="55">
        <v>62733489000</v>
      </c>
      <c r="H13" s="56"/>
      <c r="I13" s="55">
        <v>300</v>
      </c>
      <c r="J13" s="56"/>
      <c r="K13" s="55">
        <v>1377803828.9944999</v>
      </c>
      <c r="L13" s="56"/>
      <c r="M13" s="55">
        <v>0</v>
      </c>
      <c r="N13" s="56"/>
      <c r="O13" s="55">
        <v>0</v>
      </c>
      <c r="P13" s="56"/>
      <c r="Q13" s="55">
        <v>9270</v>
      </c>
      <c r="R13" s="56"/>
      <c r="S13" s="55">
        <v>9000000</v>
      </c>
      <c r="T13" s="56"/>
      <c r="U13" s="55">
        <v>74482207081</v>
      </c>
      <c r="V13" s="56"/>
      <c r="W13" s="55">
        <v>83329884000</v>
      </c>
      <c r="X13" s="48"/>
      <c r="Y13" s="60">
        <f t="shared" si="0"/>
        <v>0.23658529327869887</v>
      </c>
      <c r="Z13" s="71"/>
      <c r="AA13" s="21"/>
      <c r="AB13" s="21"/>
    </row>
    <row r="14" spans="1:28" ht="21.75" customHeight="1">
      <c r="A14" s="8" t="s">
        <v>102</v>
      </c>
      <c r="C14" s="55">
        <v>2365</v>
      </c>
      <c r="D14" s="56"/>
      <c r="E14" s="55">
        <v>29483497677</v>
      </c>
      <c r="F14" s="56"/>
      <c r="G14" s="55">
        <v>25755299350</v>
      </c>
      <c r="H14" s="56"/>
      <c r="I14" s="55">
        <v>2635</v>
      </c>
      <c r="J14" s="56"/>
      <c r="K14" s="55">
        <v>35831120944.980499</v>
      </c>
      <c r="L14" s="56"/>
      <c r="M14" s="55">
        <v>0</v>
      </c>
      <c r="N14" s="56"/>
      <c r="O14" s="55">
        <v>0</v>
      </c>
      <c r="P14" s="56"/>
      <c r="Q14" s="55">
        <v>5000</v>
      </c>
      <c r="R14" s="56"/>
      <c r="S14" s="55">
        <v>14000000</v>
      </c>
      <c r="T14" s="56"/>
      <c r="U14" s="55">
        <v>65314618621</v>
      </c>
      <c r="V14" s="56"/>
      <c r="W14" s="55">
        <v>69916000000</v>
      </c>
      <c r="X14" s="48"/>
      <c r="Y14" s="60">
        <f t="shared" si="0"/>
        <v>0.19850138474779958</v>
      </c>
      <c r="Z14" s="71"/>
      <c r="AA14" s="21"/>
      <c r="AB14" s="21"/>
    </row>
    <row r="15" spans="1:28" ht="21.75" customHeight="1">
      <c r="A15" s="8" t="s">
        <v>103</v>
      </c>
      <c r="C15" s="55">
        <v>0</v>
      </c>
      <c r="D15" s="56"/>
      <c r="E15" s="55">
        <v>0</v>
      </c>
      <c r="F15" s="56"/>
      <c r="G15" s="55">
        <v>0</v>
      </c>
      <c r="H15" s="56"/>
      <c r="I15" s="55">
        <v>5000</v>
      </c>
      <c r="J15" s="56"/>
      <c r="K15" s="55">
        <v>75308525037</v>
      </c>
      <c r="L15" s="56"/>
      <c r="M15" s="55">
        <v>0</v>
      </c>
      <c r="N15" s="56"/>
      <c r="O15" s="55">
        <v>0</v>
      </c>
      <c r="P15" s="56"/>
      <c r="Q15" s="55">
        <v>5000</v>
      </c>
      <c r="R15" s="56"/>
      <c r="S15" s="55">
        <v>15053410</v>
      </c>
      <c r="T15" s="56"/>
      <c r="U15" s="55">
        <v>75308525037</v>
      </c>
      <c r="V15" s="56"/>
      <c r="W15" s="55">
        <v>75176729540</v>
      </c>
      <c r="X15" s="48"/>
      <c r="Y15" s="60">
        <f t="shared" si="0"/>
        <v>0.21343733786974095</v>
      </c>
      <c r="Z15" s="71"/>
      <c r="AA15" s="21"/>
      <c r="AB15" s="21"/>
    </row>
    <row r="16" spans="1:28" ht="21.75" customHeight="1" thickBot="1">
      <c r="A16" s="19"/>
      <c r="B16" s="20"/>
      <c r="C16" s="55"/>
      <c r="D16" s="56"/>
      <c r="E16" s="57">
        <f>SUM(E9:E15)</f>
        <v>17870618774605</v>
      </c>
      <c r="F16" s="56"/>
      <c r="G16" s="57">
        <f>SUM(G9:G15)</f>
        <v>29943214538835</v>
      </c>
      <c r="H16" s="56"/>
      <c r="I16" s="55"/>
      <c r="J16" s="56"/>
      <c r="K16" s="57">
        <f>SUM(K9:K15)</f>
        <v>2191745202392.4719</v>
      </c>
      <c r="L16" s="56"/>
      <c r="M16" s="55"/>
      <c r="N16" s="56"/>
      <c r="O16" s="57">
        <f>SUM(O9:O15)</f>
        <v>809168230443</v>
      </c>
      <c r="P16" s="56"/>
      <c r="Q16" s="55"/>
      <c r="R16" s="56"/>
      <c r="S16" s="55"/>
      <c r="T16" s="56"/>
      <c r="U16" s="57">
        <f>SUM(U9:U15)</f>
        <v>19589208091205</v>
      </c>
      <c r="V16" s="56"/>
      <c r="W16" s="57">
        <f>SUM(W9:W15)</f>
        <v>35207209246533</v>
      </c>
      <c r="X16" s="48"/>
      <c r="Y16" s="66">
        <f>SUM(Y9:Y15)</f>
        <v>99.958232572548951</v>
      </c>
      <c r="AA16" s="21"/>
    </row>
    <row r="17" spans="3:27" ht="13.5" thickTop="1">
      <c r="U17" s="21"/>
      <c r="W17" s="21"/>
      <c r="AA17" s="21"/>
    </row>
    <row r="18" spans="3:27">
      <c r="E18" s="38"/>
      <c r="G18" s="38"/>
      <c r="U18" s="21"/>
      <c r="W18" s="21"/>
      <c r="AA18" s="21"/>
    </row>
    <row r="19" spans="3:27">
      <c r="E19" s="21"/>
      <c r="G19" s="21"/>
      <c r="U19" s="21"/>
      <c r="W19" s="21"/>
    </row>
    <row r="20" spans="3:27">
      <c r="E20" s="21"/>
      <c r="G20" s="71"/>
      <c r="U20" s="21"/>
      <c r="W20" s="38"/>
    </row>
    <row r="21" spans="3:27">
      <c r="E21" s="21"/>
      <c r="U21" s="21"/>
      <c r="W21" s="44"/>
    </row>
    <row r="22" spans="3:27">
      <c r="E22" s="71"/>
    </row>
    <row r="24" spans="3:27">
      <c r="K24" s="38"/>
    </row>
    <row r="25" spans="3:27" ht="18.75">
      <c r="C25" s="55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EB02-E966-46AC-86B4-AFF2AC2FBA94}">
  <sheetPr>
    <pageSetUpPr fitToPage="1"/>
  </sheetPr>
  <dimension ref="A1:AW15"/>
  <sheetViews>
    <sheetView rightToLeft="1" view="pageBreakPreview" zoomScaleNormal="100" zoomScaleSheetLayoutView="100" workbookViewId="0">
      <selection activeCell="A37" sqref="A37"/>
    </sheetView>
  </sheetViews>
  <sheetFormatPr defaultRowHeight="12.75"/>
  <cols>
    <col min="1" max="1" width="81.28515625" style="24" bestFit="1" customWidth="1"/>
    <col min="2" max="2" width="1.28515625" style="24" customWidth="1"/>
    <col min="3" max="3" width="9.42578125" style="24" bestFit="1" customWidth="1"/>
    <col min="4" max="4" width="1.28515625" style="24" customWidth="1"/>
    <col min="5" max="5" width="10.7109375" style="24" bestFit="1" customWidth="1"/>
    <col min="6" max="6" width="1.28515625" style="24" customWidth="1"/>
    <col min="7" max="7" width="6.42578125" style="24" customWidth="1"/>
    <col min="8" max="8" width="1.28515625" style="24" customWidth="1"/>
    <col min="9" max="9" width="5.140625" style="24" customWidth="1"/>
    <col min="10" max="10" width="1.28515625" style="24" customWidth="1"/>
    <col min="11" max="11" width="9.140625" style="24" customWidth="1"/>
    <col min="12" max="12" width="1.28515625" style="24" customWidth="1"/>
    <col min="13" max="13" width="2.5703125" style="24" customWidth="1"/>
    <col min="14" max="14" width="1.28515625" style="24" customWidth="1"/>
    <col min="15" max="15" width="9.140625" style="24" customWidth="1"/>
    <col min="16" max="16" width="1.28515625" style="24" customWidth="1"/>
    <col min="17" max="17" width="2.5703125" style="24" customWidth="1"/>
    <col min="18" max="20" width="1.28515625" style="24" customWidth="1"/>
    <col min="21" max="21" width="6.42578125" style="24" customWidth="1"/>
    <col min="22" max="22" width="1.28515625" style="24" customWidth="1"/>
    <col min="23" max="23" width="2.5703125" style="24" customWidth="1"/>
    <col min="24" max="26" width="1.28515625" style="24" customWidth="1"/>
    <col min="27" max="27" width="6.42578125" style="24" customWidth="1"/>
    <col min="28" max="28" width="1.28515625" style="24" customWidth="1"/>
    <col min="29" max="29" width="2.5703125" style="24" customWidth="1"/>
    <col min="30" max="32" width="1.28515625" style="24" customWidth="1"/>
    <col min="33" max="33" width="9.140625" style="24" customWidth="1"/>
    <col min="34" max="34" width="1.28515625" style="24" customWidth="1"/>
    <col min="35" max="35" width="2.5703125" style="24" customWidth="1"/>
    <col min="36" max="36" width="1.28515625" style="24" customWidth="1"/>
    <col min="37" max="37" width="9.140625" style="24" customWidth="1"/>
    <col min="38" max="38" width="1.28515625" style="24" customWidth="1"/>
    <col min="39" max="39" width="2.5703125" style="24" customWidth="1"/>
    <col min="40" max="40" width="1.28515625" style="24" customWidth="1"/>
    <col min="41" max="41" width="9.140625" style="24" customWidth="1"/>
    <col min="42" max="42" width="1.28515625" style="24" customWidth="1"/>
    <col min="43" max="43" width="2.5703125" style="24" customWidth="1"/>
    <col min="44" max="44" width="1.28515625" style="24" customWidth="1"/>
    <col min="45" max="45" width="11.7109375" style="24" customWidth="1"/>
    <col min="46" max="47" width="1.28515625" style="24" customWidth="1"/>
    <col min="48" max="48" width="10.42578125" style="24" bestFit="1" customWidth="1"/>
    <col min="49" max="49" width="7.7109375" style="24" customWidth="1"/>
    <col min="50" max="50" width="0.28515625" style="24" customWidth="1"/>
    <col min="51" max="16384" width="9.140625" style="24"/>
  </cols>
  <sheetData>
    <row r="1" spans="1:49" ht="25.5">
      <c r="A1" s="87" t="s">
        <v>75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</row>
    <row r="2" spans="1:49" ht="25.5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</row>
    <row r="3" spans="1:49" ht="25.5">
      <c r="A3" s="87" t="str">
        <f>'گواهی شمش'!A3:Y3</f>
        <v>برای ماه منتهی به 1405/05/31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</row>
    <row r="4" spans="1:49" ht="24">
      <c r="A4" s="86" t="s">
        <v>88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</row>
    <row r="5" spans="1:49" ht="21">
      <c r="C5" s="88" t="s">
        <v>92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Y5" s="88" t="s">
        <v>97</v>
      </c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</row>
    <row r="6" spans="1:49" ht="21">
      <c r="A6" s="27" t="s">
        <v>85</v>
      </c>
      <c r="C6" s="31" t="s">
        <v>84</v>
      </c>
      <c r="D6" s="26"/>
      <c r="E6" s="31" t="s">
        <v>83</v>
      </c>
      <c r="F6" s="26"/>
      <c r="G6" s="85" t="s">
        <v>82</v>
      </c>
      <c r="H6" s="85"/>
      <c r="I6" s="85"/>
      <c r="J6" s="26"/>
      <c r="K6" s="85" t="s">
        <v>81</v>
      </c>
      <c r="L6" s="85"/>
      <c r="M6" s="85"/>
      <c r="N6" s="26"/>
      <c r="O6" s="85" t="s">
        <v>80</v>
      </c>
      <c r="P6" s="85"/>
      <c r="Q6" s="85"/>
      <c r="R6" s="26"/>
      <c r="S6" s="85" t="s">
        <v>17</v>
      </c>
      <c r="T6" s="85"/>
      <c r="U6" s="85"/>
      <c r="V6" s="85"/>
      <c r="W6" s="85"/>
      <c r="Y6" s="85" t="s">
        <v>84</v>
      </c>
      <c r="Z6" s="85"/>
      <c r="AA6" s="85"/>
      <c r="AB6" s="85"/>
      <c r="AC6" s="85"/>
      <c r="AD6" s="26"/>
      <c r="AE6" s="85" t="s">
        <v>83</v>
      </c>
      <c r="AF6" s="85"/>
      <c r="AG6" s="85"/>
      <c r="AH6" s="85"/>
      <c r="AI6" s="85"/>
      <c r="AJ6" s="26"/>
      <c r="AK6" s="85" t="s">
        <v>82</v>
      </c>
      <c r="AL6" s="85"/>
      <c r="AM6" s="85"/>
      <c r="AN6" s="26"/>
      <c r="AO6" s="85" t="s">
        <v>81</v>
      </c>
      <c r="AP6" s="85"/>
      <c r="AQ6" s="85"/>
      <c r="AR6" s="26"/>
      <c r="AS6" s="85" t="s">
        <v>80</v>
      </c>
      <c r="AT6" s="85"/>
      <c r="AU6" s="26"/>
      <c r="AV6" s="31" t="s">
        <v>17</v>
      </c>
    </row>
    <row r="7" spans="1:49" ht="18.75">
      <c r="A7" s="78" t="s">
        <v>98</v>
      </c>
      <c r="C7" s="78" t="s">
        <v>79</v>
      </c>
      <c r="E7" s="78" t="s">
        <v>78</v>
      </c>
      <c r="G7" s="89" t="s">
        <v>104</v>
      </c>
      <c r="H7" s="89"/>
      <c r="I7" s="89"/>
      <c r="K7" s="90">
        <v>51295</v>
      </c>
      <c r="L7" s="90"/>
      <c r="M7" s="90"/>
      <c r="O7" s="90">
        <v>0</v>
      </c>
      <c r="P7" s="90"/>
      <c r="Q7" s="90"/>
      <c r="S7" s="89" t="s">
        <v>104</v>
      </c>
      <c r="T7" s="89"/>
      <c r="U7" s="89"/>
      <c r="V7" s="89"/>
      <c r="W7" s="89"/>
      <c r="Y7" s="89" t="s">
        <v>79</v>
      </c>
      <c r="Z7" s="89"/>
      <c r="AA7" s="89"/>
      <c r="AB7" s="89"/>
      <c r="AC7" s="89"/>
      <c r="AE7" s="89" t="s">
        <v>78</v>
      </c>
      <c r="AF7" s="89"/>
      <c r="AG7" s="89"/>
      <c r="AH7" s="89"/>
      <c r="AI7" s="89"/>
      <c r="AK7" s="89" t="s">
        <v>104</v>
      </c>
      <c r="AL7" s="89"/>
      <c r="AM7" s="89"/>
      <c r="AO7" s="90">
        <v>52070</v>
      </c>
      <c r="AP7" s="90"/>
      <c r="AQ7" s="90"/>
      <c r="AS7" s="90">
        <v>0</v>
      </c>
      <c r="AT7" s="90"/>
      <c r="AV7" s="78" t="s">
        <v>104</v>
      </c>
    </row>
    <row r="8" spans="1:49" ht="18.75">
      <c r="A8" s="77" t="s">
        <v>99</v>
      </c>
      <c r="C8" s="77" t="s">
        <v>79</v>
      </c>
      <c r="E8" s="77" t="s">
        <v>78</v>
      </c>
      <c r="G8" s="91" t="s">
        <v>104</v>
      </c>
      <c r="H8" s="91"/>
      <c r="I8" s="91"/>
      <c r="K8" s="92">
        <v>20228</v>
      </c>
      <c r="L8" s="92"/>
      <c r="M8" s="92"/>
      <c r="O8" s="92">
        <v>0</v>
      </c>
      <c r="P8" s="92"/>
      <c r="Q8" s="92"/>
      <c r="S8" s="91" t="s">
        <v>104</v>
      </c>
      <c r="T8" s="91"/>
      <c r="U8" s="91"/>
      <c r="V8" s="91"/>
      <c r="W8" s="91"/>
      <c r="Y8" s="91" t="s">
        <v>79</v>
      </c>
      <c r="Z8" s="91"/>
      <c r="AA8" s="91"/>
      <c r="AB8" s="91"/>
      <c r="AC8" s="91"/>
      <c r="AE8" s="91" t="s">
        <v>78</v>
      </c>
      <c r="AF8" s="91"/>
      <c r="AG8" s="91"/>
      <c r="AH8" s="91"/>
      <c r="AI8" s="91"/>
      <c r="AK8" s="91" t="s">
        <v>104</v>
      </c>
      <c r="AL8" s="91"/>
      <c r="AM8" s="91"/>
      <c r="AO8" s="92">
        <v>20500</v>
      </c>
      <c r="AP8" s="92"/>
      <c r="AQ8" s="92"/>
      <c r="AS8" s="92">
        <v>0</v>
      </c>
      <c r="AT8" s="92"/>
      <c r="AV8" s="77" t="s">
        <v>104</v>
      </c>
    </row>
    <row r="9" spans="1:49" ht="18.75">
      <c r="A9" s="77" t="s">
        <v>100</v>
      </c>
      <c r="C9" s="77" t="s">
        <v>79</v>
      </c>
      <c r="E9" s="77" t="s">
        <v>78</v>
      </c>
      <c r="G9" s="91" t="s">
        <v>104</v>
      </c>
      <c r="H9" s="91"/>
      <c r="I9" s="91"/>
      <c r="K9" s="92">
        <v>28355</v>
      </c>
      <c r="L9" s="92"/>
      <c r="M9" s="92"/>
      <c r="O9" s="92">
        <v>0</v>
      </c>
      <c r="P9" s="92"/>
      <c r="Q9" s="92"/>
      <c r="S9" s="91" t="s">
        <v>104</v>
      </c>
      <c r="T9" s="91"/>
      <c r="U9" s="91"/>
      <c r="V9" s="91"/>
      <c r="W9" s="91"/>
      <c r="Y9" s="91" t="s">
        <v>79</v>
      </c>
      <c r="Z9" s="91"/>
      <c r="AA9" s="91"/>
      <c r="AB9" s="91"/>
      <c r="AC9" s="91"/>
      <c r="AE9" s="91" t="s">
        <v>78</v>
      </c>
      <c r="AF9" s="91"/>
      <c r="AG9" s="91"/>
      <c r="AH9" s="91"/>
      <c r="AI9" s="91"/>
      <c r="AK9" s="91" t="s">
        <v>104</v>
      </c>
      <c r="AL9" s="91"/>
      <c r="AM9" s="91"/>
      <c r="AO9" s="92">
        <v>29385</v>
      </c>
      <c r="AP9" s="92"/>
      <c r="AQ9" s="92"/>
      <c r="AS9" s="92">
        <v>0</v>
      </c>
      <c r="AT9" s="92"/>
      <c r="AV9" s="77" t="s">
        <v>104</v>
      </c>
    </row>
    <row r="10" spans="1:49" ht="18.75">
      <c r="A10" s="77" t="s">
        <v>101</v>
      </c>
      <c r="C10" s="77" t="s">
        <v>79</v>
      </c>
      <c r="E10" s="77" t="s">
        <v>78</v>
      </c>
      <c r="G10" s="91" t="s">
        <v>104</v>
      </c>
      <c r="H10" s="91"/>
      <c r="I10" s="91"/>
      <c r="K10" s="92">
        <v>8970</v>
      </c>
      <c r="L10" s="92"/>
      <c r="M10" s="92"/>
      <c r="O10" s="92">
        <v>0</v>
      </c>
      <c r="P10" s="92"/>
      <c r="Q10" s="92"/>
      <c r="S10" s="91" t="s">
        <v>104</v>
      </c>
      <c r="T10" s="91"/>
      <c r="U10" s="91"/>
      <c r="V10" s="91"/>
      <c r="W10" s="91"/>
      <c r="Y10" s="91" t="s">
        <v>79</v>
      </c>
      <c r="Z10" s="91"/>
      <c r="AA10" s="91"/>
      <c r="AB10" s="91"/>
      <c r="AC10" s="91"/>
      <c r="AE10" s="91" t="s">
        <v>78</v>
      </c>
      <c r="AF10" s="91"/>
      <c r="AG10" s="91"/>
      <c r="AH10" s="91"/>
      <c r="AI10" s="91"/>
      <c r="AK10" s="91" t="s">
        <v>104</v>
      </c>
      <c r="AL10" s="91"/>
      <c r="AM10" s="91"/>
      <c r="AO10" s="92">
        <v>9270</v>
      </c>
      <c r="AP10" s="92"/>
      <c r="AQ10" s="92"/>
      <c r="AS10" s="92">
        <v>0</v>
      </c>
      <c r="AT10" s="92"/>
      <c r="AV10" s="77" t="s">
        <v>104</v>
      </c>
    </row>
    <row r="11" spans="1:49" ht="18.75">
      <c r="A11" s="77" t="s">
        <v>102</v>
      </c>
      <c r="C11" s="77" t="s">
        <v>79</v>
      </c>
      <c r="E11" s="77" t="s">
        <v>78</v>
      </c>
      <c r="G11" s="91" t="s">
        <v>104</v>
      </c>
      <c r="H11" s="91"/>
      <c r="I11" s="91"/>
      <c r="K11" s="92">
        <v>2365</v>
      </c>
      <c r="L11" s="92"/>
      <c r="M11" s="92"/>
      <c r="O11" s="92">
        <v>0</v>
      </c>
      <c r="P11" s="92"/>
      <c r="Q11" s="92"/>
      <c r="S11" s="91" t="s">
        <v>104</v>
      </c>
      <c r="T11" s="91"/>
      <c r="U11" s="91"/>
      <c r="V11" s="91"/>
      <c r="W11" s="91"/>
      <c r="Y11" s="91" t="s">
        <v>79</v>
      </c>
      <c r="Z11" s="91"/>
      <c r="AA11" s="91"/>
      <c r="AB11" s="91"/>
      <c r="AC11" s="91"/>
      <c r="AE11" s="91" t="s">
        <v>78</v>
      </c>
      <c r="AF11" s="91"/>
      <c r="AG11" s="91"/>
      <c r="AH11" s="91"/>
      <c r="AI11" s="91"/>
      <c r="AK11" s="91" t="s">
        <v>104</v>
      </c>
      <c r="AL11" s="91"/>
      <c r="AM11" s="91"/>
      <c r="AO11" s="92">
        <v>5000</v>
      </c>
      <c r="AP11" s="92"/>
      <c r="AQ11" s="92"/>
      <c r="AS11" s="92">
        <v>0</v>
      </c>
      <c r="AT11" s="92"/>
      <c r="AV11" s="77" t="s">
        <v>104</v>
      </c>
    </row>
    <row r="12" spans="1:49" ht="18.75">
      <c r="A12" s="77" t="s">
        <v>103</v>
      </c>
      <c r="C12" s="77" t="s">
        <v>79</v>
      </c>
      <c r="E12" s="77" t="s">
        <v>104</v>
      </c>
      <c r="G12" s="91" t="s">
        <v>104</v>
      </c>
      <c r="H12" s="91"/>
      <c r="I12" s="91"/>
      <c r="K12" s="92">
        <v>0</v>
      </c>
      <c r="L12" s="92"/>
      <c r="M12" s="92"/>
      <c r="O12" s="92">
        <v>0</v>
      </c>
      <c r="P12" s="92"/>
      <c r="Q12" s="92"/>
      <c r="S12" s="91" t="s">
        <v>104</v>
      </c>
      <c r="T12" s="91"/>
      <c r="U12" s="91"/>
      <c r="V12" s="91"/>
      <c r="W12" s="91"/>
      <c r="Y12" s="91" t="s">
        <v>79</v>
      </c>
      <c r="Z12" s="91"/>
      <c r="AA12" s="91"/>
      <c r="AB12" s="91"/>
      <c r="AC12" s="91"/>
      <c r="AE12" s="91" t="s">
        <v>78</v>
      </c>
      <c r="AF12" s="91"/>
      <c r="AG12" s="91"/>
      <c r="AH12" s="91"/>
      <c r="AI12" s="91"/>
      <c r="AK12" s="91" t="s">
        <v>104</v>
      </c>
      <c r="AL12" s="91"/>
      <c r="AM12" s="91"/>
      <c r="AO12" s="92">
        <v>5000</v>
      </c>
      <c r="AP12" s="92"/>
      <c r="AQ12" s="92"/>
      <c r="AS12" s="92">
        <v>0</v>
      </c>
      <c r="AT12" s="92"/>
      <c r="AV12" s="77" t="s">
        <v>104</v>
      </c>
    </row>
    <row r="13" spans="1:49">
      <c r="AO13" s="70"/>
    </row>
    <row r="15" spans="1:49">
      <c r="AO15" s="70"/>
    </row>
  </sheetData>
  <mergeCells count="69">
    <mergeCell ref="AO12:AQ12"/>
    <mergeCell ref="AS12:AT12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G11:I11"/>
    <mergeCell ref="K11:M11"/>
    <mergeCell ref="O11:Q11"/>
    <mergeCell ref="S11:W11"/>
    <mergeCell ref="Y11:AC11"/>
    <mergeCell ref="Y12:AC12"/>
    <mergeCell ref="AE12:AI12"/>
    <mergeCell ref="AK12:AM12"/>
    <mergeCell ref="G10:I10"/>
    <mergeCell ref="K10:M10"/>
    <mergeCell ref="O10:Q10"/>
    <mergeCell ref="S10:W10"/>
    <mergeCell ref="Y10:AC10"/>
    <mergeCell ref="AO8:AQ8"/>
    <mergeCell ref="AS8:AT8"/>
    <mergeCell ref="G9:I9"/>
    <mergeCell ref="K9:M9"/>
    <mergeCell ref="O9:Q9"/>
    <mergeCell ref="S9:W9"/>
    <mergeCell ref="Y9:AC9"/>
    <mergeCell ref="AK10:AM10"/>
    <mergeCell ref="AO10:AQ10"/>
    <mergeCell ref="AS10:AT10"/>
    <mergeCell ref="AE9:AI9"/>
    <mergeCell ref="AK9:AM9"/>
    <mergeCell ref="AO9:AQ9"/>
    <mergeCell ref="AS9:AT9"/>
    <mergeCell ref="AE10:AI10"/>
    <mergeCell ref="AE7:AI7"/>
    <mergeCell ref="AK7:AM7"/>
    <mergeCell ref="AO7:AQ7"/>
    <mergeCell ref="AS7:AT7"/>
    <mergeCell ref="G8:I8"/>
    <mergeCell ref="K8:M8"/>
    <mergeCell ref="O8:Q8"/>
    <mergeCell ref="S8:W8"/>
    <mergeCell ref="G7:I7"/>
    <mergeCell ref="K7:M7"/>
    <mergeCell ref="O7:Q7"/>
    <mergeCell ref="S7:W7"/>
    <mergeCell ref="Y7:AC7"/>
    <mergeCell ref="Y8:AC8"/>
    <mergeCell ref="AE8:AI8"/>
    <mergeCell ref="AK8:AM8"/>
    <mergeCell ref="AS6:AT6"/>
    <mergeCell ref="A4:AW4"/>
    <mergeCell ref="A1:AW1"/>
    <mergeCell ref="A2:AW2"/>
    <mergeCell ref="A3:AW3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</mergeCells>
  <pageMargins left="0.39" right="0.39" top="0.39" bottom="0.39" header="0" footer="0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4"/>
  <sheetViews>
    <sheetView rightToLeft="1" view="pageBreakPreview" zoomScale="136" zoomScaleNormal="100" zoomScaleSheetLayoutView="136" workbookViewId="0">
      <selection activeCell="C7" sqref="C7"/>
    </sheetView>
  </sheetViews>
  <sheetFormatPr defaultRowHeight="12.75"/>
  <cols>
    <col min="1" max="1" width="35" customWidth="1"/>
    <col min="2" max="2" width="1.28515625" customWidth="1"/>
    <col min="3" max="3" width="14.4257812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14.5703125" bestFit="1" customWidth="1"/>
    <col min="10" max="10" width="1.28515625" customWidth="1"/>
    <col min="11" max="11" width="18.42578125" bestFit="1" customWidth="1"/>
  </cols>
  <sheetData>
    <row r="1" spans="1:11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21.75" customHeight="1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14.45" customHeight="1"/>
    <row r="5" spans="1:11" ht="14.45" customHeight="1">
      <c r="A5" s="82" t="s">
        <v>57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ht="14.45" customHeight="1">
      <c r="C6" s="2" t="s">
        <v>92</v>
      </c>
      <c r="E6" s="84" t="s">
        <v>1</v>
      </c>
      <c r="F6" s="84"/>
      <c r="G6" s="84"/>
      <c r="I6" s="93" t="s">
        <v>97</v>
      </c>
      <c r="J6" s="93"/>
      <c r="K6" s="93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18</v>
      </c>
      <c r="E8" s="2" t="s">
        <v>19</v>
      </c>
      <c r="G8" s="2" t="s">
        <v>20</v>
      </c>
      <c r="I8" s="2" t="s">
        <v>18</v>
      </c>
      <c r="K8" s="2" t="s">
        <v>9</v>
      </c>
    </row>
    <row r="9" spans="1:11" ht="21.75" customHeight="1">
      <c r="A9" s="9" t="s">
        <v>21</v>
      </c>
      <c r="C9" s="72">
        <v>3186671637</v>
      </c>
      <c r="E9" s="72">
        <v>3532466145522</v>
      </c>
      <c r="G9" s="72">
        <v>3534306950000</v>
      </c>
      <c r="H9" s="58"/>
      <c r="I9" s="59">
        <f>C9+E9-G9</f>
        <v>1345867159</v>
      </c>
      <c r="J9" s="48"/>
      <c r="K9" s="60">
        <f>I9/30178262151199*100</f>
        <v>4.4597238643396429E-3</v>
      </c>
    </row>
    <row r="10" spans="1:11" ht="21.75" customHeight="1">
      <c r="A10" s="73" t="s">
        <v>89</v>
      </c>
      <c r="C10" s="76">
        <v>8625308</v>
      </c>
      <c r="E10" s="76">
        <v>36605</v>
      </c>
      <c r="G10" s="76">
        <v>0</v>
      </c>
      <c r="H10" s="58"/>
      <c r="I10" s="59">
        <f>C10+E10-G10</f>
        <v>8661913</v>
      </c>
      <c r="J10" s="48"/>
      <c r="K10" s="60">
        <f>I10/30178262151199*100</f>
        <v>2.8702491073217274E-5</v>
      </c>
    </row>
    <row r="11" spans="1:11" ht="21.75" customHeight="1" thickBot="1">
      <c r="A11" s="20"/>
      <c r="C11" s="65">
        <f>SUM(C9:C10)</f>
        <v>3195296945</v>
      </c>
      <c r="D11" s="58"/>
      <c r="E11" s="65">
        <f>SUM(E9:E10)</f>
        <v>3532466182127</v>
      </c>
      <c r="F11" s="58"/>
      <c r="G11" s="65">
        <f>SUM(G9:G10)</f>
        <v>3534306950000</v>
      </c>
      <c r="H11" s="58"/>
      <c r="I11" s="61">
        <f>SUM(I9:I10)</f>
        <v>1354529072</v>
      </c>
      <c r="J11" s="48"/>
      <c r="K11" s="62">
        <f>SUM(K9:K10)</f>
        <v>4.48842635541286E-3</v>
      </c>
    </row>
    <row r="12" spans="1:11" ht="13.5" thickTop="1">
      <c r="G12" s="21"/>
      <c r="I12" s="21"/>
    </row>
    <row r="13" spans="1:11">
      <c r="C13" s="21"/>
      <c r="I13" s="21"/>
    </row>
    <row r="14" spans="1:11">
      <c r="I14" s="38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8"/>
  <sheetViews>
    <sheetView rightToLeft="1" view="pageBreakPreview" zoomScaleNormal="100" zoomScaleSheetLayoutView="100" workbookViewId="0">
      <selection activeCell="F12" sqref="F12:F20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3" width="18" bestFit="1" customWidth="1"/>
  </cols>
  <sheetData>
    <row r="1" spans="1:13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</row>
    <row r="2" spans="1:13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</row>
    <row r="3" spans="1:13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</row>
    <row r="4" spans="1:13" ht="14.45" customHeight="1"/>
    <row r="5" spans="1:13" ht="29.1" customHeight="1">
      <c r="A5" s="1" t="s">
        <v>23</v>
      </c>
      <c r="B5" s="97" t="s">
        <v>24</v>
      </c>
      <c r="C5" s="97"/>
      <c r="D5" s="97"/>
      <c r="E5" s="97"/>
      <c r="F5" s="97"/>
      <c r="G5" s="97"/>
      <c r="H5" s="97"/>
      <c r="I5" s="97"/>
      <c r="J5" s="97"/>
    </row>
    <row r="6" spans="1:13" ht="14.45" customHeight="1"/>
    <row r="7" spans="1:13" ht="14.45" customHeight="1">
      <c r="A7" s="84" t="s">
        <v>25</v>
      </c>
      <c r="B7" s="84"/>
      <c r="D7" s="2" t="s">
        <v>26</v>
      </c>
      <c r="F7" s="2" t="s">
        <v>18</v>
      </c>
      <c r="H7" s="2" t="s">
        <v>27</v>
      </c>
      <c r="J7" s="2" t="s">
        <v>28</v>
      </c>
    </row>
    <row r="8" spans="1:13" ht="21.75" customHeight="1">
      <c r="A8" s="95" t="s">
        <v>90</v>
      </c>
      <c r="B8" s="95"/>
      <c r="C8" s="14"/>
      <c r="D8" s="36" t="s">
        <v>29</v>
      </c>
      <c r="E8" s="14"/>
      <c r="F8" s="11">
        <f>'درآمد سرمایه گذاری در گواهی'!S30</f>
        <v>16395662266704</v>
      </c>
      <c r="G8" s="14"/>
      <c r="H8" s="15">
        <f>F8/F11*100</f>
        <v>99.985432870826116</v>
      </c>
      <c r="I8" s="14"/>
      <c r="J8" s="16">
        <f>F8/35221920536640*100</f>
        <v>46.549597571342616</v>
      </c>
      <c r="L8" s="21"/>
      <c r="M8" s="21"/>
    </row>
    <row r="9" spans="1:13" ht="21.75" customHeight="1">
      <c r="A9" s="96" t="s">
        <v>31</v>
      </c>
      <c r="B9" s="96"/>
      <c r="C9" s="14"/>
      <c r="D9" s="37" t="s">
        <v>30</v>
      </c>
      <c r="E9" s="14"/>
      <c r="F9" s="12">
        <f>'درآمد سپرده بانکی'!G11</f>
        <v>114741488</v>
      </c>
      <c r="G9" s="14"/>
      <c r="H9" s="16">
        <f>F9/F11*100</f>
        <v>6.9972637636119103E-4</v>
      </c>
      <c r="I9" s="14"/>
      <c r="J9" s="16">
        <f t="shared" ref="J9:J10" si="0">F9/35221920536640*100</f>
        <v>3.2576726723529707E-4</v>
      </c>
      <c r="L9" s="21"/>
      <c r="M9" s="21"/>
    </row>
    <row r="10" spans="1:13" ht="21.75" customHeight="1">
      <c r="A10" s="96" t="s">
        <v>70</v>
      </c>
      <c r="B10" s="96"/>
      <c r="C10" s="14"/>
      <c r="D10" s="37" t="s">
        <v>71</v>
      </c>
      <c r="E10" s="14"/>
      <c r="F10" s="12">
        <f>'سایر درآمدها'!F9</f>
        <v>2273983782</v>
      </c>
      <c r="G10" s="14"/>
      <c r="H10" s="16">
        <f>F10/F11*100</f>
        <v>1.3867402797521472E-2</v>
      </c>
      <c r="I10" s="14"/>
      <c r="J10" s="16">
        <f t="shared" si="0"/>
        <v>6.4561606731082782E-3</v>
      </c>
      <c r="L10" s="38"/>
      <c r="M10" s="38"/>
    </row>
    <row r="11" spans="1:13" ht="21.75" customHeight="1" thickBot="1">
      <c r="A11" s="94"/>
      <c r="B11" s="94"/>
      <c r="C11" s="14"/>
      <c r="D11" s="12"/>
      <c r="E11" s="14"/>
      <c r="F11" s="13">
        <f>SUM(F8:F10)</f>
        <v>16398050991974</v>
      </c>
      <c r="G11" s="14"/>
      <c r="H11" s="17">
        <f>SUM(H8:H10)</f>
        <v>100</v>
      </c>
      <c r="I11" s="14"/>
      <c r="J11" s="17">
        <f>SUM(J8:J10)</f>
        <v>46.556379499282961</v>
      </c>
      <c r="L11" s="21"/>
    </row>
    <row r="12" spans="1:13" ht="13.5" thickTop="1">
      <c r="L12" s="21"/>
    </row>
    <row r="13" spans="1:13">
      <c r="F13" s="21"/>
      <c r="L13" s="21"/>
    </row>
    <row r="14" spans="1:13">
      <c r="F14" s="21"/>
      <c r="L14" s="21"/>
      <c r="M14" s="21"/>
    </row>
    <row r="15" spans="1:13">
      <c r="F15" s="21"/>
      <c r="L15" s="21"/>
      <c r="M15" s="21"/>
    </row>
    <row r="16" spans="1:13">
      <c r="L16" s="21"/>
    </row>
    <row r="17" spans="12:12">
      <c r="L17" s="21"/>
    </row>
    <row r="18" spans="12:12">
      <c r="L18" s="21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38"/>
  <sheetViews>
    <sheetView rightToLeft="1" view="pageBreakPreview" topLeftCell="A7" zoomScale="90" zoomScaleNormal="100" zoomScaleSheetLayoutView="90" workbookViewId="0">
      <selection activeCell="K15" sqref="K15"/>
    </sheetView>
  </sheetViews>
  <sheetFormatPr defaultRowHeight="12.75"/>
  <cols>
    <col min="1" max="1" width="81.28515625" bestFit="1" customWidth="1"/>
    <col min="2" max="2" width="1.28515625" customWidth="1"/>
    <col min="3" max="3" width="15" style="14" bestFit="1" customWidth="1"/>
    <col min="4" max="4" width="1.28515625" style="14" customWidth="1"/>
    <col min="5" max="5" width="19.28515625" style="14" bestFit="1" customWidth="1"/>
    <col min="6" max="6" width="1.28515625" style="14" customWidth="1"/>
    <col min="7" max="7" width="16.85546875" style="14" bestFit="1" customWidth="1"/>
    <col min="8" max="8" width="1.28515625" style="14" customWidth="1"/>
    <col min="9" max="9" width="19.28515625" style="14" bestFit="1" customWidth="1"/>
    <col min="10" max="10" width="1.28515625" style="14" customWidth="1"/>
    <col min="11" max="11" width="20.5703125" style="14" bestFit="1" customWidth="1"/>
    <col min="12" max="12" width="1.28515625" style="14" customWidth="1"/>
    <col min="13" max="13" width="15" style="14" bestFit="1" customWidth="1"/>
    <col min="14" max="14" width="1.28515625" style="14" customWidth="1"/>
    <col min="15" max="15" width="19.5703125" style="14" bestFit="1" customWidth="1"/>
    <col min="16" max="16" width="1.28515625" style="14" customWidth="1"/>
    <col min="17" max="17" width="18.5703125" style="14" bestFit="1" customWidth="1"/>
    <col min="18" max="18" width="1.28515625" style="14" customWidth="1"/>
    <col min="19" max="19" width="19.7109375" style="14" bestFit="1" customWidth="1"/>
    <col min="20" max="20" width="1.28515625" style="14" customWidth="1"/>
    <col min="21" max="21" width="17.42578125" style="14" bestFit="1" customWidth="1"/>
    <col min="22" max="22" width="0.28515625" customWidth="1"/>
  </cols>
  <sheetData>
    <row r="1" spans="1:21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ht="14.45" customHeight="1"/>
    <row r="5" spans="1:21" ht="14.45" customHeight="1">
      <c r="A5" s="82" t="s">
        <v>91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</row>
    <row r="6" spans="1:21" ht="14.45" customHeight="1">
      <c r="C6" s="84" t="s">
        <v>32</v>
      </c>
      <c r="D6" s="84"/>
      <c r="E6" s="84"/>
      <c r="F6" s="84"/>
      <c r="G6" s="84"/>
      <c r="H6" s="84"/>
      <c r="I6" s="84"/>
      <c r="J6" s="84"/>
      <c r="K6" s="84"/>
      <c r="M6" s="84" t="s">
        <v>33</v>
      </c>
      <c r="N6" s="84"/>
      <c r="O6" s="84"/>
      <c r="P6" s="84"/>
      <c r="Q6" s="84"/>
      <c r="R6" s="84"/>
      <c r="S6" s="84"/>
      <c r="T6" s="84"/>
      <c r="U6" s="84"/>
    </row>
    <row r="7" spans="1:21" ht="14.45" customHeight="1">
      <c r="C7" s="23"/>
      <c r="D7" s="23"/>
      <c r="E7" s="23"/>
      <c r="F7" s="23"/>
      <c r="G7" s="23"/>
      <c r="H7" s="23"/>
      <c r="I7" s="81" t="s">
        <v>16</v>
      </c>
      <c r="J7" s="81"/>
      <c r="K7" s="81"/>
      <c r="M7" s="23"/>
      <c r="N7" s="23"/>
      <c r="O7" s="23"/>
      <c r="P7" s="23"/>
      <c r="Q7" s="23"/>
      <c r="R7" s="23"/>
      <c r="S7" s="81" t="s">
        <v>16</v>
      </c>
      <c r="T7" s="81"/>
      <c r="U7" s="81"/>
    </row>
    <row r="8" spans="1:21" ht="14.45" customHeight="1">
      <c r="A8" s="2"/>
      <c r="C8" s="2" t="s">
        <v>34</v>
      </c>
      <c r="E8" s="2" t="s">
        <v>35</v>
      </c>
      <c r="G8" s="2" t="s">
        <v>36</v>
      </c>
      <c r="I8" s="4" t="s">
        <v>18</v>
      </c>
      <c r="J8" s="23"/>
      <c r="K8" s="4" t="s">
        <v>27</v>
      </c>
      <c r="M8" s="2" t="s">
        <v>34</v>
      </c>
      <c r="O8" s="10" t="s">
        <v>35</v>
      </c>
      <c r="Q8" s="2" t="s">
        <v>36</v>
      </c>
      <c r="S8" s="4" t="s">
        <v>18</v>
      </c>
      <c r="T8" s="23"/>
      <c r="U8" s="4" t="s">
        <v>27</v>
      </c>
    </row>
    <row r="9" spans="1:21" ht="21.75" customHeight="1">
      <c r="A9" s="9" t="s">
        <v>15</v>
      </c>
      <c r="C9" s="63">
        <v>0</v>
      </c>
      <c r="D9" s="56"/>
      <c r="E9" s="55">
        <f>IFERROR(VLOOKUP(A9,'درآمد ناشی از تغییر قیمت اوراق'!A:Q,9,0),0)</f>
        <v>3241576104357</v>
      </c>
      <c r="F9" s="56"/>
      <c r="G9" s="55">
        <f>'درآمد ناشی از فروش'!I8</f>
        <v>264080090815</v>
      </c>
      <c r="H9" s="56"/>
      <c r="I9" s="63">
        <f>C9+E9+G9</f>
        <v>3505656195172</v>
      </c>
      <c r="J9" s="56"/>
      <c r="K9" s="67">
        <f>I9/3884813117656*100</f>
        <v>90.240021566011023</v>
      </c>
      <c r="L9" s="56"/>
      <c r="M9" s="63">
        <v>0</v>
      </c>
      <c r="N9" s="56"/>
      <c r="O9" s="55">
        <f>IFERROR(VLOOKUP(A9,'درآمد ناشی از تغییر قیمت اوراق'!A:Q,17,0),0)</f>
        <v>12952023006212</v>
      </c>
      <c r="P9" s="56"/>
      <c r="Q9" s="55">
        <f>'درآمد ناشی از فروش'!Q8</f>
        <v>3166322741001</v>
      </c>
      <c r="R9" s="56"/>
      <c r="S9" s="55">
        <f>M9+O9+Q9</f>
        <v>16118345747213</v>
      </c>
      <c r="T9" s="56"/>
      <c r="U9" s="67">
        <f>S9/درآمد!$F$11*100</f>
        <v>98.29427750347952</v>
      </c>
    </row>
    <row r="10" spans="1:21" ht="21.75" customHeight="1">
      <c r="A10" s="8" t="s">
        <v>37</v>
      </c>
      <c r="C10" s="55">
        <v>0</v>
      </c>
      <c r="D10" s="56"/>
      <c r="E10" s="55">
        <f>IFERROR(VLOOKUP(A10,'درآمد ناشی از تغییر قیمت اوراق'!A:Q,9,0),0)</f>
        <v>0</v>
      </c>
      <c r="F10" s="56"/>
      <c r="G10" s="55">
        <v>0</v>
      </c>
      <c r="H10" s="56"/>
      <c r="I10" s="55">
        <f t="shared" ref="I10:I29" si="0">C10+E10+G10</f>
        <v>0</v>
      </c>
      <c r="J10" s="56"/>
      <c r="K10" s="67">
        <f t="shared" ref="K10:K29" si="1">I10/3884813117656*100</f>
        <v>0</v>
      </c>
      <c r="L10" s="56"/>
      <c r="M10" s="55">
        <v>0</v>
      </c>
      <c r="N10" s="56"/>
      <c r="O10" s="55">
        <f>IFERROR(VLOOKUP(A10,'درآمد ناشی از تغییر قیمت اوراق'!A:Q,17,0),0)</f>
        <v>0</v>
      </c>
      <c r="P10" s="56"/>
      <c r="Q10" s="55">
        <f>'درآمد ناشی از فروش'!Q9</f>
        <v>42384415013</v>
      </c>
      <c r="R10" s="56"/>
      <c r="S10" s="55">
        <f t="shared" ref="S10:S29" si="2">M10+O10+Q10</f>
        <v>42384415013</v>
      </c>
      <c r="T10" s="56"/>
      <c r="U10" s="67">
        <f>S10/درآمد!$F$11*100</f>
        <v>0.25847227230690395</v>
      </c>
    </row>
    <row r="11" spans="1:21" ht="21.75" customHeight="1">
      <c r="A11" s="8" t="s">
        <v>77</v>
      </c>
      <c r="C11" s="55">
        <v>0</v>
      </c>
      <c r="D11" s="56"/>
      <c r="E11" s="55">
        <f>IFERROR(VLOOKUP(A11,'درآمد ناشی از تغییر قیمت اوراق'!A:Q,9,0),0)</f>
        <v>0</v>
      </c>
      <c r="F11" s="56"/>
      <c r="G11" s="55">
        <v>0</v>
      </c>
      <c r="H11" s="56"/>
      <c r="I11" s="55">
        <f t="shared" si="0"/>
        <v>0</v>
      </c>
      <c r="J11" s="56"/>
      <c r="K11" s="67">
        <f t="shared" si="1"/>
        <v>0</v>
      </c>
      <c r="L11" s="56"/>
      <c r="M11" s="55">
        <v>0</v>
      </c>
      <c r="N11" s="56"/>
      <c r="O11" s="55">
        <f>IFERROR(VLOOKUP(A11,'درآمد ناشی از تغییر قیمت اوراق'!A:Q,17,0),0)</f>
        <v>0</v>
      </c>
      <c r="P11" s="56"/>
      <c r="Q11" s="55">
        <f>'درآمد ناشی از فروش'!Q10</f>
        <v>2645732399</v>
      </c>
      <c r="R11" s="56"/>
      <c r="S11" s="55">
        <f t="shared" si="2"/>
        <v>2645732399</v>
      </c>
      <c r="T11" s="56"/>
      <c r="U11" s="67">
        <f>S11/درآمد!$F$11*100</f>
        <v>1.6134432075464028E-2</v>
      </c>
    </row>
    <row r="12" spans="1:21" ht="21.75" customHeight="1">
      <c r="A12" s="8" t="s">
        <v>98</v>
      </c>
      <c r="C12" s="55">
        <v>0</v>
      </c>
      <c r="D12" s="56"/>
      <c r="E12" s="55">
        <f>IFERROR(VLOOKUP(A12,'درآمد ناشی از تغییر قیمت اوراق'!A:Q,9,0),0)</f>
        <v>200443211547</v>
      </c>
      <c r="F12" s="56"/>
      <c r="G12" s="55">
        <f>IFERROR(VLOOKUP(A12,'درآمد اعمال اختیار'!A:L,10,0),0)</f>
        <v>200237862</v>
      </c>
      <c r="H12" s="56"/>
      <c r="I12" s="55">
        <f t="shared" si="0"/>
        <v>200643449409</v>
      </c>
      <c r="J12" s="56"/>
      <c r="K12" s="67">
        <f t="shared" si="1"/>
        <v>5.1648159984092956</v>
      </c>
      <c r="L12" s="56"/>
      <c r="M12" s="55">
        <v>0</v>
      </c>
      <c r="N12" s="56"/>
      <c r="O12" s="55">
        <f>IFERROR(VLOOKUP(A12,'درآمد ناشی از تغییر قیمت اوراق'!A:Q,17,0),0)</f>
        <v>92952365083</v>
      </c>
      <c r="P12" s="56"/>
      <c r="Q12" s="55">
        <f>IFERROR(VLOOKUP(A12,'درآمد اعمال اختیار'!A:L,12,0),0)</f>
        <v>200237862</v>
      </c>
      <c r="R12" s="56"/>
      <c r="S12" s="55">
        <f t="shared" si="2"/>
        <v>93152602945</v>
      </c>
      <c r="T12" s="56"/>
      <c r="U12" s="67">
        <f>S12/درآمد!$F$11*100</f>
        <v>0.56807118718311944</v>
      </c>
    </row>
    <row r="13" spans="1:21" ht="21.75" customHeight="1">
      <c r="A13" s="8" t="s">
        <v>102</v>
      </c>
      <c r="C13" s="55">
        <v>0</v>
      </c>
      <c r="D13" s="56"/>
      <c r="E13" s="55">
        <f>IFERROR(VLOOKUP(A13,'درآمد ناشی از تغییر قیمت اوراق'!A:Q,9,0),0)</f>
        <v>8329579706</v>
      </c>
      <c r="F13" s="56"/>
      <c r="G13" s="55">
        <f>IFERROR(VLOOKUP(A13,'درآمد اعمال اختیار'!A:L,10,0),0)</f>
        <v>0</v>
      </c>
      <c r="H13" s="56"/>
      <c r="I13" s="55">
        <f t="shared" si="0"/>
        <v>8329579706</v>
      </c>
      <c r="J13" s="56"/>
      <c r="K13" s="67">
        <f t="shared" si="1"/>
        <v>0.21441391010916536</v>
      </c>
      <c r="L13" s="56"/>
      <c r="M13" s="55">
        <v>0</v>
      </c>
      <c r="N13" s="56"/>
      <c r="O13" s="55">
        <f>IFERROR(VLOOKUP(A13,'درآمد ناشی از تغییر قیمت اوراق'!A:Q,17,0),0)</f>
        <v>4601381379</v>
      </c>
      <c r="P13" s="56"/>
      <c r="Q13" s="55">
        <f>IFERROR(VLOOKUP(A13,'درآمد اعمال اختیار'!A:L,12,0),0)</f>
        <v>0</v>
      </c>
      <c r="R13" s="56"/>
      <c r="S13" s="55">
        <f t="shared" si="2"/>
        <v>4601381379</v>
      </c>
      <c r="T13" s="56"/>
      <c r="U13" s="67">
        <f>S13/درآمد!$F$11*100</f>
        <v>2.8060538299656091E-2</v>
      </c>
    </row>
    <row r="14" spans="1:21" ht="21.75" customHeight="1">
      <c r="A14" s="8" t="s">
        <v>101</v>
      </c>
      <c r="C14" s="55">
        <v>0</v>
      </c>
      <c r="D14" s="56"/>
      <c r="E14" s="55">
        <f>IFERROR(VLOOKUP(A14,'درآمد ناشی از تغییر قیمت اوراق'!A:Q,9,0),0)</f>
        <v>19218591172</v>
      </c>
      <c r="F14" s="56"/>
      <c r="G14" s="55">
        <f>IFERROR(VLOOKUP(A14,'درآمد اعمال اختیار'!A:L,10,0),0)</f>
        <v>0</v>
      </c>
      <c r="H14" s="56"/>
      <c r="I14" s="55">
        <f t="shared" si="0"/>
        <v>19218591172</v>
      </c>
      <c r="J14" s="56"/>
      <c r="K14" s="67">
        <f t="shared" si="1"/>
        <v>0.494710828808054</v>
      </c>
      <c r="L14" s="56"/>
      <c r="M14" s="55">
        <v>0</v>
      </c>
      <c r="N14" s="56"/>
      <c r="O14" s="55">
        <f>IFERROR(VLOOKUP(A14,'درآمد ناشی از تغییر قیمت اوراق'!A:Q,17,0),0)</f>
        <v>8847676919</v>
      </c>
      <c r="P14" s="56"/>
      <c r="Q14" s="55">
        <f>IFERROR(VLOOKUP(A14,'درآمد اعمال اختیار'!A:L,12,0),0)</f>
        <v>0</v>
      </c>
      <c r="R14" s="56"/>
      <c r="S14" s="55">
        <f t="shared" si="2"/>
        <v>8847676919</v>
      </c>
      <c r="T14" s="56"/>
      <c r="U14" s="67">
        <f>S14/درآمد!$F$11*100</f>
        <v>5.3955661702299144E-2</v>
      </c>
    </row>
    <row r="15" spans="1:21" ht="21.75" customHeight="1">
      <c r="A15" s="8" t="s">
        <v>99</v>
      </c>
      <c r="C15" s="55">
        <v>0</v>
      </c>
      <c r="D15" s="56"/>
      <c r="E15" s="55">
        <f>IFERROR(VLOOKUP(A15,'درآمد ناشی از تغییر قیمت اوراق'!A:Q,9,0),0)</f>
        <v>87626885773</v>
      </c>
      <c r="F15" s="56"/>
      <c r="G15" s="55">
        <f>IFERROR(VLOOKUP(A15,'درآمد اعمال اختیار'!A:L,10,0),0)</f>
        <v>3388121</v>
      </c>
      <c r="H15" s="56"/>
      <c r="I15" s="55">
        <f t="shared" si="0"/>
        <v>87630273894</v>
      </c>
      <c r="J15" s="56"/>
      <c r="K15" s="67">
        <f t="shared" si="1"/>
        <v>2.2557140135192379</v>
      </c>
      <c r="L15" s="56"/>
      <c r="M15" s="55">
        <v>0</v>
      </c>
      <c r="N15" s="56"/>
      <c r="O15" s="55">
        <f>IFERROR(VLOOKUP(A15,'درآمد ناشی از تغییر قیمت اوراق'!A:Q,17,0),0)</f>
        <v>34313403185</v>
      </c>
      <c r="P15" s="56"/>
      <c r="Q15" s="55">
        <f>IFERROR(VLOOKUP(A15,'درآمد اعمال اختیار'!A:L,12,0),0)</f>
        <v>3388121</v>
      </c>
      <c r="R15" s="56"/>
      <c r="S15" s="55">
        <f t="shared" si="2"/>
        <v>34316791306</v>
      </c>
      <c r="T15" s="56"/>
      <c r="U15" s="67">
        <f>S15/درآمد!$F$11*100</f>
        <v>0.20927359795866168</v>
      </c>
    </row>
    <row r="16" spans="1:21" ht="21.75" customHeight="1">
      <c r="A16" s="8" t="s">
        <v>100</v>
      </c>
      <c r="C16" s="55">
        <v>0</v>
      </c>
      <c r="D16" s="56"/>
      <c r="E16" s="55">
        <f>IFERROR(VLOOKUP(A16,'درآمد ناشی از تغییر قیمت اوراق'!A:Q,9,0),0)</f>
        <v>62016855739</v>
      </c>
      <c r="F16" s="56"/>
      <c r="G16" s="55">
        <f>IFERROR(VLOOKUP(A16,'درآمد اعمال اختیار'!A:L,10,0),0)</f>
        <v>0</v>
      </c>
      <c r="H16" s="56"/>
      <c r="I16" s="55">
        <f t="shared" si="0"/>
        <v>62016855739</v>
      </c>
      <c r="J16" s="56"/>
      <c r="K16" s="67">
        <f t="shared" si="1"/>
        <v>1.5963922551934604</v>
      </c>
      <c r="L16" s="56"/>
      <c r="M16" s="55">
        <v>0</v>
      </c>
      <c r="N16" s="56"/>
      <c r="O16" s="55">
        <f>IFERROR(VLOOKUP(A16,'درآمد ناشی از تغییر قیمت اوراق'!A:Q,17,0),0)</f>
        <v>-1847767140</v>
      </c>
      <c r="P16" s="56"/>
      <c r="Q16" s="55">
        <f>IFERROR(VLOOKUP(A16,'درآمد اعمال اختیار'!A:L,12,0),0)</f>
        <v>0</v>
      </c>
      <c r="R16" s="56"/>
      <c r="S16" s="55">
        <f t="shared" si="2"/>
        <v>-1847767140</v>
      </c>
      <c r="T16" s="56"/>
      <c r="U16" s="67">
        <f>S16/درآمد!$F$11*100</f>
        <v>-1.126821194118976E-2</v>
      </c>
    </row>
    <row r="17" spans="1:21" ht="18.75">
      <c r="A17" s="8" t="s">
        <v>103</v>
      </c>
      <c r="C17" s="55">
        <v>0</v>
      </c>
      <c r="E17" s="55">
        <f>IFERROR(VLOOKUP(A17,'درآمد ناشی از تغییر قیمت اوراق'!A:Q,9,0),0)</f>
        <v>-131795497</v>
      </c>
      <c r="G17" s="55">
        <f>IFERROR(VLOOKUP(A17,'درآمد اعمال اختیار'!A:L,10,0),0)</f>
        <v>0</v>
      </c>
      <c r="I17" s="55">
        <f t="shared" si="0"/>
        <v>-131795497</v>
      </c>
      <c r="K17" s="67">
        <f t="shared" si="1"/>
        <v>-3.392582680515714E-3</v>
      </c>
      <c r="M17" s="55">
        <v>0</v>
      </c>
      <c r="O17" s="55">
        <f>IFERROR(VLOOKUP(A17,'درآمد ناشی از تغییر قیمت اوراق'!A:Q,17,0),0)</f>
        <v>-131795497</v>
      </c>
      <c r="Q17" s="55">
        <f>IFERROR(VLOOKUP(A17,'درآمد اعمال اختیار'!A:L,12,0),0)</f>
        <v>0</v>
      </c>
      <c r="S17" s="55">
        <f t="shared" si="2"/>
        <v>-131795497</v>
      </c>
      <c r="U17" s="67">
        <f>S17/درآمد!$F$11*100</f>
        <v>-8.0372659570644765E-4</v>
      </c>
    </row>
    <row r="18" spans="1:21" ht="21.75" customHeight="1">
      <c r="A18" s="8" t="s">
        <v>59</v>
      </c>
      <c r="C18" s="55">
        <v>0</v>
      </c>
      <c r="D18" s="56"/>
      <c r="E18" s="55">
        <f>IFERROR(VLOOKUP(A18,'درآمد ناشی از تغییر قیمت اوراق'!A:Q,9,0),0)</f>
        <v>0</v>
      </c>
      <c r="F18" s="56"/>
      <c r="G18" s="55">
        <f>IFERROR(VLOOKUP(A18,'درآمد اعمال اختیار'!A:L,10,0),0)</f>
        <v>0</v>
      </c>
      <c r="H18" s="56"/>
      <c r="I18" s="55">
        <f t="shared" si="0"/>
        <v>0</v>
      </c>
      <c r="J18" s="56"/>
      <c r="K18" s="67">
        <f t="shared" si="1"/>
        <v>0</v>
      </c>
      <c r="L18" s="56"/>
      <c r="M18" s="55">
        <v>0</v>
      </c>
      <c r="N18" s="56"/>
      <c r="O18" s="55">
        <f>IFERROR(VLOOKUP(A18,'درآمد ناشی از تغییر قیمت اوراق'!A:Q,17,0),0)</f>
        <v>0</v>
      </c>
      <c r="P18" s="56"/>
      <c r="Q18" s="55">
        <f>IFERROR(VLOOKUP(A18,'درآمد اعمال اختیار'!A:L,12,0),0)</f>
        <v>2323243497</v>
      </c>
      <c r="R18" s="56"/>
      <c r="S18" s="55">
        <f t="shared" si="2"/>
        <v>2323243497</v>
      </c>
      <c r="T18" s="56"/>
      <c r="U18" s="67">
        <f>S18/درآمد!$F$11*100</f>
        <v>1.4167802613475881E-2</v>
      </c>
    </row>
    <row r="19" spans="1:21" ht="21.75" customHeight="1">
      <c r="A19" s="8" t="s">
        <v>60</v>
      </c>
      <c r="C19" s="55">
        <v>0</v>
      </c>
      <c r="D19" s="56"/>
      <c r="E19" s="55">
        <f>IFERROR(VLOOKUP(A19,'درآمد ناشی از تغییر قیمت اوراق'!A:Q,9,0),0)</f>
        <v>0</v>
      </c>
      <c r="F19" s="56"/>
      <c r="G19" s="55">
        <f>IFERROR(VLOOKUP(A19,'درآمد اعمال اختیار'!A:L,10,0),0)</f>
        <v>0</v>
      </c>
      <c r="H19" s="56"/>
      <c r="I19" s="55">
        <f t="shared" si="0"/>
        <v>0</v>
      </c>
      <c r="J19" s="56"/>
      <c r="K19" s="67">
        <f t="shared" si="1"/>
        <v>0</v>
      </c>
      <c r="L19" s="56"/>
      <c r="M19" s="55">
        <v>0</v>
      </c>
      <c r="N19" s="56"/>
      <c r="O19" s="55">
        <f>IFERROR(VLOOKUP(A19,'درآمد ناشی از تغییر قیمت اوراق'!A:Q,17,0),0)</f>
        <v>0</v>
      </c>
      <c r="P19" s="56"/>
      <c r="Q19" s="55">
        <f>IFERROR(VLOOKUP(A19,'درآمد اعمال اختیار'!A:L,12,0),0)</f>
        <v>950536282</v>
      </c>
      <c r="R19" s="56"/>
      <c r="S19" s="55">
        <f t="shared" si="2"/>
        <v>950536282</v>
      </c>
      <c r="T19" s="56"/>
      <c r="U19" s="67">
        <f>S19/درآمد!$F$11*100</f>
        <v>5.7966418232583763E-3</v>
      </c>
    </row>
    <row r="20" spans="1:21" ht="21.75" customHeight="1">
      <c r="A20" s="8" t="s">
        <v>61</v>
      </c>
      <c r="C20" s="55">
        <v>0</v>
      </c>
      <c r="D20" s="56"/>
      <c r="E20" s="55">
        <f>IFERROR(VLOOKUP(A20,'درآمد ناشی از تغییر قیمت اوراق'!A:Q,9,0),0)</f>
        <v>0</v>
      </c>
      <c r="F20" s="56"/>
      <c r="G20" s="55">
        <f>IFERROR(VLOOKUP(A20,'درآمد اعمال اختیار'!A:L,10,0),0)</f>
        <v>0</v>
      </c>
      <c r="H20" s="56"/>
      <c r="I20" s="55">
        <f t="shared" si="0"/>
        <v>0</v>
      </c>
      <c r="J20" s="56"/>
      <c r="K20" s="67">
        <f t="shared" si="1"/>
        <v>0</v>
      </c>
      <c r="L20" s="56"/>
      <c r="M20" s="55">
        <v>0</v>
      </c>
      <c r="N20" s="56"/>
      <c r="O20" s="55">
        <f>IFERROR(VLOOKUP(A20,'درآمد ناشی از تغییر قیمت اوراق'!A:Q,17,0),0)</f>
        <v>0</v>
      </c>
      <c r="P20" s="56"/>
      <c r="Q20" s="55">
        <f>IFERROR(VLOOKUP(A20,'درآمد اعمال اختیار'!A:L,12,0),0)</f>
        <v>11623371119</v>
      </c>
      <c r="R20" s="56"/>
      <c r="S20" s="55">
        <f t="shared" si="2"/>
        <v>11623371119</v>
      </c>
      <c r="T20" s="56"/>
      <c r="U20" s="67">
        <f>S20/درآمد!$F$11*100</f>
        <v>7.0882637971360379E-2</v>
      </c>
    </row>
    <row r="21" spans="1:21" ht="21.75" customHeight="1">
      <c r="A21" s="8" t="s">
        <v>62</v>
      </c>
      <c r="C21" s="55">
        <v>0</v>
      </c>
      <c r="D21" s="56"/>
      <c r="E21" s="55">
        <f>IFERROR(VLOOKUP(A21,'درآمد ناشی از تغییر قیمت اوراق'!A:Q,9,0),0)</f>
        <v>0</v>
      </c>
      <c r="F21" s="56"/>
      <c r="G21" s="55">
        <f>IFERROR(VLOOKUP(A21,'درآمد اعمال اختیار'!A:L,10,0),0)</f>
        <v>0</v>
      </c>
      <c r="H21" s="56"/>
      <c r="I21" s="55">
        <f t="shared" si="0"/>
        <v>0</v>
      </c>
      <c r="J21" s="56"/>
      <c r="K21" s="67">
        <f t="shared" si="1"/>
        <v>0</v>
      </c>
      <c r="L21" s="56"/>
      <c r="M21" s="55">
        <v>0</v>
      </c>
      <c r="N21" s="56"/>
      <c r="O21" s="55">
        <f>IFERROR(VLOOKUP(A21,'درآمد ناشی از تغییر قیمت اوراق'!A:Q,17,0),0)</f>
        <v>0</v>
      </c>
      <c r="P21" s="56"/>
      <c r="Q21" s="55">
        <f>IFERROR(VLOOKUP(A21,'درآمد اعمال اختیار'!A:L,12,0),0)</f>
        <v>9403317173</v>
      </c>
      <c r="R21" s="56"/>
      <c r="S21" s="55">
        <f t="shared" si="2"/>
        <v>9403317173</v>
      </c>
      <c r="T21" s="56"/>
      <c r="U21" s="67">
        <f>S21/درآمد!$F$11*100</f>
        <v>5.7344114721941272E-2</v>
      </c>
    </row>
    <row r="22" spans="1:21" ht="21.75" customHeight="1">
      <c r="A22" s="8" t="s">
        <v>63</v>
      </c>
      <c r="C22" s="55">
        <v>0</v>
      </c>
      <c r="D22" s="56"/>
      <c r="E22" s="55">
        <f>IFERROR(VLOOKUP(A22,'درآمد ناشی از تغییر قیمت اوراق'!A:Q,9,0),0)</f>
        <v>0</v>
      </c>
      <c r="F22" s="56"/>
      <c r="G22" s="55">
        <f>IFERROR(VLOOKUP(A22,'درآمد اعمال اختیار'!A:L,10,0),0)</f>
        <v>0</v>
      </c>
      <c r="H22" s="56"/>
      <c r="I22" s="55">
        <f t="shared" si="0"/>
        <v>0</v>
      </c>
      <c r="J22" s="56"/>
      <c r="K22" s="67">
        <f t="shared" si="1"/>
        <v>0</v>
      </c>
      <c r="L22" s="56"/>
      <c r="M22" s="55">
        <v>0</v>
      </c>
      <c r="N22" s="56"/>
      <c r="O22" s="55">
        <f>IFERROR(VLOOKUP(A22,'درآمد ناشی از تغییر قیمت اوراق'!A:Q,17,0),0)</f>
        <v>0</v>
      </c>
      <c r="P22" s="56"/>
      <c r="Q22" s="55">
        <f>IFERROR(VLOOKUP(A22,'درآمد اعمال اختیار'!A:L,12,0),0)</f>
        <v>3737822385</v>
      </c>
      <c r="R22" s="56"/>
      <c r="S22" s="55">
        <f t="shared" si="2"/>
        <v>3737822385</v>
      </c>
      <c r="T22" s="56"/>
      <c r="U22" s="67">
        <f>S22/درآمد!$F$11*100</f>
        <v>2.2794308828710627E-2</v>
      </c>
    </row>
    <row r="23" spans="1:21" ht="21.75" customHeight="1">
      <c r="A23" s="8" t="s">
        <v>64</v>
      </c>
      <c r="C23" s="55">
        <v>0</v>
      </c>
      <c r="D23" s="56"/>
      <c r="E23" s="55">
        <f>IFERROR(VLOOKUP(A23,'درآمد ناشی از تغییر قیمت اوراق'!A:Q,9,0),0)</f>
        <v>0</v>
      </c>
      <c r="F23" s="56"/>
      <c r="G23" s="55">
        <f>IFERROR(VLOOKUP(A23,'درآمد اعمال اختیار'!A:L,10,0),0)</f>
        <v>0</v>
      </c>
      <c r="H23" s="56"/>
      <c r="I23" s="55">
        <f t="shared" si="0"/>
        <v>0</v>
      </c>
      <c r="J23" s="56"/>
      <c r="K23" s="67">
        <f t="shared" si="1"/>
        <v>0</v>
      </c>
      <c r="L23" s="56"/>
      <c r="M23" s="55">
        <v>0</v>
      </c>
      <c r="N23" s="56"/>
      <c r="O23" s="55">
        <f>IFERROR(VLOOKUP(A23,'درآمد ناشی از تغییر قیمت اوراق'!A:Q,17,0),0)</f>
        <v>0</v>
      </c>
      <c r="P23" s="56"/>
      <c r="Q23" s="55">
        <f>IFERROR(VLOOKUP(A23,'درآمد اعمال اختیار'!A:L,12,0),0)</f>
        <v>993815288</v>
      </c>
      <c r="R23" s="56"/>
      <c r="S23" s="55">
        <f t="shared" si="2"/>
        <v>993815288</v>
      </c>
      <c r="T23" s="56"/>
      <c r="U23" s="67">
        <f>S23/درآمد!$F$11*100</f>
        <v>6.0605695669956224E-3</v>
      </c>
    </row>
    <row r="24" spans="1:21" ht="21.75" customHeight="1">
      <c r="A24" s="8" t="s">
        <v>65</v>
      </c>
      <c r="C24" s="55">
        <v>0</v>
      </c>
      <c r="D24" s="56"/>
      <c r="E24" s="55">
        <f>IFERROR(VLOOKUP(A24,'درآمد ناشی از تغییر قیمت اوراق'!A:Q,9,0),0)</f>
        <v>0</v>
      </c>
      <c r="F24" s="56"/>
      <c r="G24" s="55">
        <f>IFERROR(VLOOKUP(A24,'درآمد اعمال اختیار'!A:L,10,0),0)</f>
        <v>0</v>
      </c>
      <c r="H24" s="56"/>
      <c r="I24" s="55">
        <f t="shared" si="0"/>
        <v>0</v>
      </c>
      <c r="J24" s="56"/>
      <c r="K24" s="67">
        <f t="shared" si="1"/>
        <v>0</v>
      </c>
      <c r="L24" s="56"/>
      <c r="M24" s="55">
        <v>0</v>
      </c>
      <c r="N24" s="56"/>
      <c r="O24" s="55">
        <f>IFERROR(VLOOKUP(A24,'درآمد ناشی از تغییر قیمت اوراق'!A:Q,17,0),0)</f>
        <v>0</v>
      </c>
      <c r="P24" s="56"/>
      <c r="Q24" s="55">
        <f>IFERROR(VLOOKUP(A24,'درآمد اعمال اختیار'!A:L,12,0),0)</f>
        <v>824652506</v>
      </c>
      <c r="R24" s="56"/>
      <c r="S24" s="55">
        <f t="shared" si="2"/>
        <v>824652506</v>
      </c>
      <c r="T24" s="56"/>
      <c r="U24" s="67">
        <f>S24/درآمد!$F$11*100</f>
        <v>5.0289665912346829E-3</v>
      </c>
    </row>
    <row r="25" spans="1:21" ht="21.75" customHeight="1">
      <c r="A25" s="8" t="s">
        <v>10</v>
      </c>
      <c r="C25" s="55">
        <v>0</v>
      </c>
      <c r="D25" s="56"/>
      <c r="E25" s="55">
        <f>IFERROR(VLOOKUP(A25,'درآمد ناشی از تغییر قیمت اوراق'!A:Q,9,0),0)</f>
        <v>0</v>
      </c>
      <c r="F25" s="56"/>
      <c r="G25" s="55">
        <f>IFERROR(VLOOKUP(A25,'درآمد اعمال اختیار'!A:L,10,0),0)</f>
        <v>0</v>
      </c>
      <c r="H25" s="56"/>
      <c r="I25" s="55">
        <f t="shared" si="0"/>
        <v>0</v>
      </c>
      <c r="J25" s="56"/>
      <c r="K25" s="67">
        <f t="shared" si="1"/>
        <v>0</v>
      </c>
      <c r="L25" s="56"/>
      <c r="M25" s="55">
        <v>0</v>
      </c>
      <c r="N25" s="56"/>
      <c r="O25" s="55">
        <f>IFERROR(VLOOKUP(A25,'درآمد ناشی از تغییر قیمت اوراق'!A:Q,17,0),0)</f>
        <v>0</v>
      </c>
      <c r="P25" s="56"/>
      <c r="Q25" s="55">
        <f>IFERROR(VLOOKUP(A25,'درآمد اعمال اختیار'!A:L,12,0),0)</f>
        <v>7851327396</v>
      </c>
      <c r="R25" s="56"/>
      <c r="S25" s="55">
        <f t="shared" si="2"/>
        <v>7851327396</v>
      </c>
      <c r="T25" s="56"/>
      <c r="U25" s="67">
        <f>S25/درآمد!$F$11*100</f>
        <v>4.7879637646222835E-2</v>
      </c>
    </row>
    <row r="26" spans="1:21" ht="21.75" customHeight="1">
      <c r="A26" s="8" t="s">
        <v>11</v>
      </c>
      <c r="C26" s="55">
        <v>0</v>
      </c>
      <c r="D26" s="56"/>
      <c r="E26" s="55">
        <f>IFERROR(VLOOKUP(A26,'درآمد ناشی از تغییر قیمت اوراق'!A:Q,9,0),0)</f>
        <v>0</v>
      </c>
      <c r="F26" s="56"/>
      <c r="G26" s="55">
        <f>IFERROR(VLOOKUP(A26,'درآمد اعمال اختیار'!A:L,10,0),0)</f>
        <v>0</v>
      </c>
      <c r="H26" s="56"/>
      <c r="I26" s="55">
        <f t="shared" si="0"/>
        <v>0</v>
      </c>
      <c r="J26" s="56"/>
      <c r="K26" s="67">
        <f t="shared" si="1"/>
        <v>0</v>
      </c>
      <c r="L26" s="56"/>
      <c r="M26" s="55">
        <v>0</v>
      </c>
      <c r="N26" s="56"/>
      <c r="O26" s="55">
        <f>IFERROR(VLOOKUP(A26,'درآمد ناشی از تغییر قیمت اوراق'!A:Q,17,0),0)</f>
        <v>0</v>
      </c>
      <c r="P26" s="56"/>
      <c r="Q26" s="55">
        <f>IFERROR(VLOOKUP(A26,'درآمد اعمال اختیار'!A:L,12,0),0)</f>
        <v>13506334256</v>
      </c>
      <c r="R26" s="56"/>
      <c r="S26" s="55">
        <f t="shared" si="2"/>
        <v>13506334256</v>
      </c>
      <c r="T26" s="56"/>
      <c r="U26" s="67">
        <f>S26/درآمد!$F$11*100</f>
        <v>8.2365485158026733E-2</v>
      </c>
    </row>
    <row r="27" spans="1:21" ht="21.75" customHeight="1">
      <c r="A27" s="8" t="s">
        <v>12</v>
      </c>
      <c r="C27" s="55">
        <v>0</v>
      </c>
      <c r="D27" s="56"/>
      <c r="E27" s="55">
        <f>IFERROR(VLOOKUP(A27,'درآمد ناشی از تغییر قیمت اوراق'!A:Q,9,0),0)</f>
        <v>0</v>
      </c>
      <c r="F27" s="56"/>
      <c r="G27" s="55">
        <f>IFERROR(VLOOKUP(A27,'درآمد اعمال اختیار'!A:L,10,0),0)</f>
        <v>0</v>
      </c>
      <c r="H27" s="56"/>
      <c r="I27" s="55">
        <f t="shared" si="0"/>
        <v>0</v>
      </c>
      <c r="J27" s="56"/>
      <c r="K27" s="67">
        <f t="shared" si="1"/>
        <v>0</v>
      </c>
      <c r="L27" s="56"/>
      <c r="M27" s="55">
        <v>0</v>
      </c>
      <c r="N27" s="56"/>
      <c r="O27" s="55">
        <f>IFERROR(VLOOKUP(A27,'درآمد ناشی از تغییر قیمت اوراق'!A:Q,17,0),0)</f>
        <v>0</v>
      </c>
      <c r="P27" s="56"/>
      <c r="Q27" s="55">
        <f>IFERROR(VLOOKUP(A27,'درآمد اعمال اختیار'!A:L,12,0),0)</f>
        <v>12192942597</v>
      </c>
      <c r="R27" s="56"/>
      <c r="S27" s="55">
        <f t="shared" si="2"/>
        <v>12192942597</v>
      </c>
      <c r="T27" s="56"/>
      <c r="U27" s="67">
        <f>S27/درآمد!$F$11*100</f>
        <v>7.435604757521376E-2</v>
      </c>
    </row>
    <row r="28" spans="1:21" ht="21.75" customHeight="1">
      <c r="A28" s="8" t="s">
        <v>13</v>
      </c>
      <c r="C28" s="55">
        <v>0</v>
      </c>
      <c r="D28" s="56"/>
      <c r="E28" s="55">
        <f>IFERROR(VLOOKUP(A28,'درآمد ناشی از تغییر قیمت اوراق'!A:Q,9,0),0)</f>
        <v>0</v>
      </c>
      <c r="F28" s="56"/>
      <c r="G28" s="55">
        <f>IFERROR(VLOOKUP(A28,'درآمد اعمال اختیار'!A:L,10,0),0)</f>
        <v>0</v>
      </c>
      <c r="H28" s="56"/>
      <c r="I28" s="55">
        <f t="shared" si="0"/>
        <v>0</v>
      </c>
      <c r="J28" s="56"/>
      <c r="K28" s="67">
        <f t="shared" si="1"/>
        <v>0</v>
      </c>
      <c r="L28" s="56"/>
      <c r="M28" s="55">
        <v>0</v>
      </c>
      <c r="N28" s="56"/>
      <c r="O28" s="55">
        <f>IFERROR(VLOOKUP(A28,'درآمد ناشی از تغییر قیمت اوراق'!A:Q,17,0),0)</f>
        <v>0</v>
      </c>
      <c r="P28" s="56"/>
      <c r="Q28" s="55">
        <f>IFERROR(VLOOKUP(A28,'درآمد اعمال اختیار'!A:L,12,0),0)</f>
        <v>21986883549</v>
      </c>
      <c r="R28" s="56"/>
      <c r="S28" s="55">
        <f t="shared" si="2"/>
        <v>21986883549</v>
      </c>
      <c r="T28" s="56"/>
      <c r="U28" s="67">
        <f>S28/درآمد!$F$11*100</f>
        <v>0.13408229770575444</v>
      </c>
    </row>
    <row r="29" spans="1:21" ht="21.75" customHeight="1">
      <c r="A29" s="8" t="s">
        <v>14</v>
      </c>
      <c r="C29" s="55">
        <v>0</v>
      </c>
      <c r="D29" s="56"/>
      <c r="E29" s="55">
        <f>IFERROR(VLOOKUP(A29,'درآمد ناشی از تغییر قیمت اوراق'!A:Q,9,0),0)</f>
        <v>0</v>
      </c>
      <c r="F29" s="56"/>
      <c r="G29" s="55">
        <f>IFERROR(VLOOKUP(A29,'درآمد اعمال اختیار'!A:L,10,0),0)</f>
        <v>0</v>
      </c>
      <c r="H29" s="56"/>
      <c r="I29" s="55">
        <f t="shared" si="0"/>
        <v>0</v>
      </c>
      <c r="J29" s="56"/>
      <c r="K29" s="67">
        <f t="shared" si="1"/>
        <v>0</v>
      </c>
      <c r="L29" s="56"/>
      <c r="M29" s="55"/>
      <c r="N29" s="56"/>
      <c r="O29" s="55">
        <f>IFERROR(VLOOKUP(A29,'درآمد ناشی از تغییر قیمت اوراق'!A:Q,17,0),0)</f>
        <v>0</v>
      </c>
      <c r="P29" s="56"/>
      <c r="Q29" s="55">
        <f>IFERROR(VLOOKUP(A29,'درآمد اعمال اختیار'!A:L,12,0),0)</f>
        <v>7953236119</v>
      </c>
      <c r="R29" s="56"/>
      <c r="S29" s="55">
        <f t="shared" si="2"/>
        <v>7953236119</v>
      </c>
      <c r="T29" s="56"/>
      <c r="U29" s="67">
        <f>S29/درآمد!$F$11*100</f>
        <v>4.8501106155193069E-2</v>
      </c>
    </row>
    <row r="30" spans="1:21" ht="19.5" thickBot="1">
      <c r="C30" s="64">
        <f>SUM(C9:C29)</f>
        <v>0</v>
      </c>
      <c r="D30" s="55"/>
      <c r="E30" s="64">
        <f>SUM(E9:E29)</f>
        <v>3619079432797</v>
      </c>
      <c r="F30" s="55"/>
      <c r="G30" s="64">
        <f>SUM(G9:G29)</f>
        <v>264283716798</v>
      </c>
      <c r="H30" s="55"/>
      <c r="I30" s="64">
        <f>SUM(I9:I29)</f>
        <v>3883363149595</v>
      </c>
      <c r="J30" s="55"/>
      <c r="K30" s="68">
        <f>SUM(K9:K29)</f>
        <v>99.962675989369728</v>
      </c>
      <c r="L30" s="55"/>
      <c r="M30" s="64">
        <f>SUM(M9:M29)</f>
        <v>0</v>
      </c>
      <c r="N30" s="55"/>
      <c r="O30" s="64">
        <f>SUM(O9:O29)</f>
        <v>13090758270141</v>
      </c>
      <c r="P30" s="55"/>
      <c r="Q30" s="64">
        <f>SUM(Q9:Q29)</f>
        <v>3304903996563</v>
      </c>
      <c r="R30" s="55"/>
      <c r="S30" s="64">
        <f>SUM(S9:S29)</f>
        <v>16395662266704</v>
      </c>
      <c r="T30" s="55"/>
      <c r="U30" s="68">
        <f>SUM(U9:U29)</f>
        <v>99.985432870826116</v>
      </c>
    </row>
    <row r="31" spans="1:21" ht="13.5" thickTop="1"/>
    <row r="32" spans="1:21">
      <c r="E32" s="42"/>
      <c r="G32" s="69"/>
      <c r="I32" s="42"/>
      <c r="O32" s="42"/>
      <c r="Q32" s="42"/>
      <c r="S32" s="42"/>
    </row>
    <row r="33" spans="1:17" ht="18.75">
      <c r="A33" s="8"/>
      <c r="E33" s="42"/>
      <c r="G33" s="42"/>
      <c r="O33" s="42"/>
      <c r="Q33" s="42"/>
    </row>
    <row r="34" spans="1:17" ht="18.75">
      <c r="A34" s="8"/>
      <c r="E34" s="42"/>
      <c r="O34" s="54"/>
      <c r="Q34" s="42"/>
    </row>
    <row r="35" spans="1:17" ht="18.75">
      <c r="A35" s="8"/>
    </row>
    <row r="36" spans="1:17" ht="18.75">
      <c r="A36" s="8"/>
    </row>
    <row r="37" spans="1:17" ht="18.75">
      <c r="A37" s="8"/>
    </row>
    <row r="38" spans="1:17" ht="18.75">
      <c r="A38" s="8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conditionalFormatting sqref="A9:A38">
    <cfRule type="duplicateValues" dxfId="1" priority="1"/>
  </conditionalFormatting>
  <conditionalFormatting sqref="A12:A38">
    <cfRule type="duplicateValues" dxfId="0" priority="2"/>
  </conditionalFormatting>
  <pageMargins left="0.39" right="0.39" top="0.39" bottom="0.39" header="0" footer="0"/>
  <pageSetup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zoomScale="150" zoomScaleNormal="100" zoomScaleSheetLayoutView="150" workbookViewId="0">
      <selection activeCell="C19" sqref="C19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</row>
    <row r="2" spans="1:9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</row>
    <row r="3" spans="1:9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</row>
    <row r="4" spans="1:9" ht="14.45" customHeight="1"/>
    <row r="5" spans="1:9" ht="14.45" customHeight="1">
      <c r="A5" s="82" t="s">
        <v>58</v>
      </c>
      <c r="B5" s="82"/>
      <c r="C5" s="82"/>
      <c r="D5" s="82"/>
      <c r="E5" s="82"/>
      <c r="F5" s="82"/>
      <c r="G5" s="82"/>
      <c r="H5" s="82"/>
      <c r="I5" s="82"/>
    </row>
    <row r="6" spans="1:9" ht="14.45" customHeight="1">
      <c r="C6" s="84" t="s">
        <v>32</v>
      </c>
      <c r="D6" s="84"/>
      <c r="E6" s="84"/>
      <c r="G6" s="84" t="s">
        <v>33</v>
      </c>
      <c r="H6" s="84"/>
      <c r="I6" s="84"/>
    </row>
    <row r="7" spans="1:9" ht="36.4" customHeight="1">
      <c r="A7" s="22" t="s">
        <v>38</v>
      </c>
      <c r="C7" s="7" t="s">
        <v>39</v>
      </c>
      <c r="D7" s="3"/>
      <c r="E7" s="7" t="s">
        <v>40</v>
      </c>
      <c r="G7" s="7" t="s">
        <v>39</v>
      </c>
      <c r="H7" s="3"/>
      <c r="I7" s="7" t="s">
        <v>40</v>
      </c>
    </row>
    <row r="8" spans="1:9" ht="21.75" customHeight="1">
      <c r="A8" s="9" t="s">
        <v>93</v>
      </c>
      <c r="C8" s="11">
        <f>'سود سپرده بانکی'!C8</f>
        <v>1729827</v>
      </c>
      <c r="D8" s="14"/>
      <c r="E8" s="16">
        <f>C8/$C$11*100</f>
        <v>97.927743609717211</v>
      </c>
      <c r="F8" s="14"/>
      <c r="G8" s="11">
        <f>'سود سپرده بانکی'!I8</f>
        <v>46101711</v>
      </c>
      <c r="H8" s="14"/>
      <c r="I8" s="16">
        <f>G8/$G$11*100</f>
        <v>40.178763412933947</v>
      </c>
    </row>
    <row r="9" spans="1:9" ht="21.75" customHeight="1">
      <c r="A9" s="8" t="s">
        <v>94</v>
      </c>
      <c r="C9" s="12">
        <f>'سود سپرده بانکی'!C9</f>
        <v>0</v>
      </c>
      <c r="D9" s="14"/>
      <c r="E9" s="16">
        <f>C9/$C$11*100</f>
        <v>0</v>
      </c>
      <c r="F9" s="14"/>
      <c r="G9" s="12">
        <f>'سود سپرده بانکی'!I9</f>
        <v>68597864</v>
      </c>
      <c r="H9" s="14"/>
      <c r="I9" s="16">
        <f>G9/$G$11*100</f>
        <v>59.784708387257446</v>
      </c>
    </row>
    <row r="10" spans="1:9" ht="21.75" customHeight="1">
      <c r="A10" s="8" t="s">
        <v>95</v>
      </c>
      <c r="C10" s="12">
        <f>'سود سپرده بانکی'!C10</f>
        <v>36605</v>
      </c>
      <c r="D10" s="14"/>
      <c r="E10" s="16">
        <f>C10/$C$11*100</f>
        <v>2.0722563902827846</v>
      </c>
      <c r="F10" s="14"/>
      <c r="G10" s="12">
        <f>'سود سپرده بانکی'!I10</f>
        <v>41913</v>
      </c>
      <c r="H10" s="14"/>
      <c r="I10" s="16">
        <f>G10/$G$11*100</f>
        <v>3.652819980859931E-2</v>
      </c>
    </row>
    <row r="11" spans="1:9" ht="21.75" customHeight="1" thickBot="1">
      <c r="A11" s="18"/>
      <c r="C11" s="13">
        <f>SUM(C8:C10)</f>
        <v>1766432</v>
      </c>
      <c r="D11" s="14"/>
      <c r="E11" s="13">
        <f>SUM(E8:E10)</f>
        <v>100</v>
      </c>
      <c r="F11" s="14"/>
      <c r="G11" s="13">
        <f>SUM(G8:G10)</f>
        <v>114741488</v>
      </c>
      <c r="H11" s="14"/>
      <c r="I11" s="13">
        <f>SUM(I8:I10)</f>
        <v>100</v>
      </c>
    </row>
    <row r="12" spans="1:9" ht="13.5" thickTop="1">
      <c r="C12" s="21"/>
      <c r="G12" s="21"/>
    </row>
    <row r="13" spans="1:9">
      <c r="C13" s="21"/>
      <c r="G13" s="21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pageSetUpPr fitToPage="1"/>
  </sheetPr>
  <dimension ref="A1:F13"/>
  <sheetViews>
    <sheetView rightToLeft="1" view="pageBreakPreview" zoomScaleNormal="100" zoomScaleSheetLayoutView="100" workbookViewId="0">
      <selection activeCell="O7" sqref="O7"/>
    </sheetView>
  </sheetViews>
  <sheetFormatPr defaultRowHeight="12.75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5.5">
      <c r="A1" s="87" t="str">
        <f>'گواهی شمش'!A1</f>
        <v>صندوق سرمایه گذاری کالایی درفش دماوند</v>
      </c>
      <c r="B1" s="87"/>
      <c r="C1" s="87"/>
      <c r="D1" s="87"/>
      <c r="E1" s="87"/>
      <c r="F1" s="87"/>
    </row>
    <row r="2" spans="1:6" ht="25.5">
      <c r="A2" s="87" t="s">
        <v>22</v>
      </c>
      <c r="B2" s="87"/>
      <c r="C2" s="87"/>
      <c r="D2" s="87"/>
      <c r="E2" s="87"/>
      <c r="F2" s="87"/>
    </row>
    <row r="3" spans="1:6" ht="25.5">
      <c r="A3" s="87" t="str">
        <f>'گواهی شمش'!A3</f>
        <v>برای ماه منتهی به 1405/05/31</v>
      </c>
      <c r="B3" s="87"/>
      <c r="C3" s="87"/>
      <c r="D3" s="87"/>
      <c r="E3" s="87"/>
      <c r="F3" s="87"/>
    </row>
    <row r="4" spans="1:6" ht="14.45" customHeight="1"/>
    <row r="5" spans="1:6" ht="29.1" customHeight="1">
      <c r="A5" s="32" t="s">
        <v>69</v>
      </c>
      <c r="B5" s="86" t="s">
        <v>68</v>
      </c>
      <c r="C5" s="86"/>
      <c r="D5" s="86"/>
      <c r="E5" s="86"/>
      <c r="F5" s="86"/>
    </row>
    <row r="6" spans="1:6" ht="21">
      <c r="D6" s="27" t="s">
        <v>32</v>
      </c>
      <c r="F6" s="27" t="s">
        <v>97</v>
      </c>
    </row>
    <row r="7" spans="1:6" ht="21">
      <c r="A7" s="88" t="s">
        <v>68</v>
      </c>
      <c r="B7" s="88"/>
      <c r="D7" s="31" t="s">
        <v>18</v>
      </c>
      <c r="F7" s="31" t="s">
        <v>18</v>
      </c>
    </row>
    <row r="8" spans="1:6" ht="31.5" customHeight="1">
      <c r="A8" s="98" t="s">
        <v>67</v>
      </c>
      <c r="B8" s="98"/>
      <c r="D8" s="74">
        <v>1448201629</v>
      </c>
      <c r="E8" s="34"/>
      <c r="F8" s="33">
        <v>2273983782</v>
      </c>
    </row>
    <row r="9" spans="1:6" ht="31.5" customHeight="1" thickBot="1">
      <c r="A9" s="99"/>
      <c r="B9" s="99"/>
      <c r="D9" s="75">
        <f>SUM(D8)</f>
        <v>1448201629</v>
      </c>
      <c r="E9" s="34"/>
      <c r="F9" s="35">
        <f>SUM(F8)</f>
        <v>2273983782</v>
      </c>
    </row>
    <row r="10" spans="1:6" ht="13.5" thickTop="1">
      <c r="D10" s="70"/>
      <c r="F10" s="70"/>
    </row>
    <row r="11" spans="1:6">
      <c r="D11" s="70"/>
      <c r="F11" s="70"/>
    </row>
    <row r="12" spans="1:6">
      <c r="D12" s="70"/>
    </row>
    <row r="13" spans="1:6">
      <c r="D13" s="70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118" zoomScaleNormal="100" zoomScaleSheetLayoutView="118" workbookViewId="0">
      <selection activeCell="A9" sqref="A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3" t="str">
        <f>'گواهی شمش'!A1</f>
        <v>صندوق سرمایه گذاری کالایی درفش دماوند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21.75" customHeight="1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21.75" customHeight="1">
      <c r="A3" s="83" t="str">
        <f>'گواهی شمش'!A3</f>
        <v>برای ماه منتهی به 1405/05/31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4.45" customHeight="1"/>
    <row r="5" spans="1:13" ht="14.45" customHeight="1">
      <c r="A5" s="97" t="s">
        <v>44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 ht="14.45" customHeight="1">
      <c r="A6" s="84" t="s">
        <v>25</v>
      </c>
      <c r="C6" s="84" t="s">
        <v>32</v>
      </c>
      <c r="D6" s="84"/>
      <c r="E6" s="84"/>
      <c r="F6" s="84"/>
      <c r="G6" s="84"/>
      <c r="I6" s="84" t="s">
        <v>33</v>
      </c>
      <c r="J6" s="84"/>
      <c r="K6" s="84"/>
      <c r="L6" s="84"/>
      <c r="M6" s="84"/>
    </row>
    <row r="7" spans="1:13" ht="29.1" customHeight="1">
      <c r="A7" s="84"/>
      <c r="C7" s="7" t="s">
        <v>42</v>
      </c>
      <c r="D7" s="3"/>
      <c r="E7" s="7" t="s">
        <v>41</v>
      </c>
      <c r="F7" s="3"/>
      <c r="G7" s="7" t="s">
        <v>43</v>
      </c>
      <c r="I7" s="7" t="s">
        <v>42</v>
      </c>
      <c r="J7" s="3"/>
      <c r="K7" s="7" t="s">
        <v>41</v>
      </c>
      <c r="L7" s="3"/>
      <c r="M7" s="43" t="s">
        <v>43</v>
      </c>
    </row>
    <row r="8" spans="1:13" ht="21.75" customHeight="1">
      <c r="A8" s="5" t="s">
        <v>93</v>
      </c>
      <c r="C8" s="47">
        <v>1729827</v>
      </c>
      <c r="D8" s="48"/>
      <c r="E8" s="47">
        <v>0</v>
      </c>
      <c r="F8" s="48"/>
      <c r="G8" s="47">
        <f>C8-E8</f>
        <v>1729827</v>
      </c>
      <c r="H8" s="48"/>
      <c r="I8" s="47">
        <v>46101711</v>
      </c>
      <c r="J8" s="48"/>
      <c r="K8" s="47">
        <v>0</v>
      </c>
      <c r="L8" s="48"/>
      <c r="M8" s="49">
        <f>I8-K8</f>
        <v>46101711</v>
      </c>
    </row>
    <row r="9" spans="1:13" ht="21.75" customHeight="1">
      <c r="A9" s="6" t="s">
        <v>94</v>
      </c>
      <c r="C9" s="49">
        <v>0</v>
      </c>
      <c r="D9" s="48"/>
      <c r="E9" s="49">
        <v>0</v>
      </c>
      <c r="F9" s="48"/>
      <c r="G9" s="49">
        <f>C9-E9</f>
        <v>0</v>
      </c>
      <c r="H9" s="48"/>
      <c r="I9" s="49">
        <v>68597864</v>
      </c>
      <c r="J9" s="48"/>
      <c r="K9" s="49">
        <v>0</v>
      </c>
      <c r="L9" s="48"/>
      <c r="M9" s="49">
        <f>I9-K9</f>
        <v>68597864</v>
      </c>
    </row>
    <row r="10" spans="1:13" ht="21.75" customHeight="1">
      <c r="A10" s="6" t="s">
        <v>95</v>
      </c>
      <c r="C10" s="49">
        <v>36605</v>
      </c>
      <c r="D10" s="48"/>
      <c r="E10" s="49">
        <v>0</v>
      </c>
      <c r="F10" s="48"/>
      <c r="G10" s="49">
        <f>C10-E10</f>
        <v>36605</v>
      </c>
      <c r="H10" s="48"/>
      <c r="I10" s="49">
        <v>41913</v>
      </c>
      <c r="J10" s="48"/>
      <c r="K10" s="49">
        <v>0</v>
      </c>
      <c r="L10" s="48"/>
      <c r="M10" s="49">
        <f>I10-K10</f>
        <v>41913</v>
      </c>
    </row>
    <row r="11" spans="1:13" ht="21.75" customHeight="1">
      <c r="A11" s="18"/>
      <c r="C11" s="50">
        <f>SUM(C8:C10)</f>
        <v>1766432</v>
      </c>
      <c r="D11" s="48"/>
      <c r="E11" s="50">
        <f>SUM(E8:E10)</f>
        <v>0</v>
      </c>
      <c r="F11" s="48"/>
      <c r="G11" s="50">
        <f>SUM(G8:G10)</f>
        <v>1766432</v>
      </c>
      <c r="H11" s="48"/>
      <c r="I11" s="50">
        <f>SUM(I8:I10)</f>
        <v>114741488</v>
      </c>
      <c r="J11" s="48"/>
      <c r="K11" s="50">
        <f>SUM(K8:K10)</f>
        <v>0</v>
      </c>
      <c r="L11" s="48"/>
      <c r="M11" s="50">
        <f>SUM(M8:M10)</f>
        <v>114741488</v>
      </c>
    </row>
    <row r="12" spans="1:13">
      <c r="C12" s="21"/>
      <c r="G12" s="21"/>
      <c r="I12" s="21"/>
      <c r="M12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گواهی شمش</vt:lpstr>
      <vt:lpstr>اوراق مشتقه</vt:lpstr>
      <vt:lpstr>سپرده</vt:lpstr>
      <vt:lpstr>درآمد</vt:lpstr>
      <vt:lpstr>درآمد سرمایه گذاری در گواهی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گواهی'!Print_Area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'گواهی شمش'!Print_Area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2026-08-29T11:47:06Z</dcterms:modified>
</cp:coreProperties>
</file>