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عملیات حسابداری\گزارش پرتفو\1405\03\"/>
    </mc:Choice>
  </mc:AlternateContent>
  <xr:revisionPtr revIDLastSave="0" documentId="13_ncr:1_{5129CE67-DD14-4EDD-B723-BB4324A27E21}" xr6:coauthVersionLast="47" xr6:coauthVersionMax="47" xr10:uidLastSave="{00000000-0000-0000-0000-000000000000}"/>
  <bookViews>
    <workbookView xWindow="-120" yWindow="-120" windowWidth="29040" windowHeight="15840" tabRatio="952" xr2:uid="{00000000-000D-0000-FFFF-FFFF00000000}"/>
  </bookViews>
  <sheets>
    <sheet name="0" sheetId="25" r:id="rId1"/>
    <sheet name="گواهی شمش" sheetId="2" r:id="rId2"/>
    <sheet name="اوراق مشتقه" sheetId="2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24" r:id="rId8"/>
    <sheet name="سود سپرده بانکی" sheetId="18" r:id="rId9"/>
    <sheet name="درآمد ناشی از فروش" sheetId="19" r:id="rId10"/>
    <sheet name="درآمد اعمال اختیار" sheetId="23" r:id="rId11"/>
    <sheet name="درآمد ناشی از تغییر قیمت اوراق" sheetId="21" r:id="rId12"/>
  </sheets>
  <definedNames>
    <definedName name="_xlnm.Print_Area" localSheetId="2">'اوراق مشتقه'!$A$1:$AM$12</definedName>
    <definedName name="_xlnm.Print_Area" localSheetId="4">درآمد!$A$1:$K$11</definedName>
    <definedName name="_xlnm.Print_Area" localSheetId="10">'درآمد اعمال اختیار'!$A$1:$L$22</definedName>
    <definedName name="_xlnm.Print_Area" localSheetId="6">'درآمد سپرده بانکی'!$A$1:$J$10</definedName>
    <definedName name="_xlnm.Print_Area" localSheetId="5">'درآمد سرمایه گذاری در سهام'!$A$1:$V$30</definedName>
    <definedName name="_xlnm.Print_Area" localSheetId="11">'درآمد ناشی از تغییر قیمت اوراق'!$A$1:$Q$14</definedName>
    <definedName name="_xlnm.Print_Area" localSheetId="9">'درآمد ناشی از فروش'!$A$1:$Q$11</definedName>
    <definedName name="_xlnm.Print_Area" localSheetId="7">'سایر درآمدها'!$A$1:$G$9</definedName>
    <definedName name="_xlnm.Print_Area" localSheetId="3">سپرده!$A$1:$K$11</definedName>
    <definedName name="_xlnm.Print_Area" localSheetId="8">'سود سپرده بانکی'!$A$1:$N$10</definedName>
    <definedName name="_xlnm.Print_Area" localSheetId="1">'گواهی شمش'!$A$1:$Y$15</definedName>
  </definedNames>
  <calcPr calcId="191029"/>
</workbook>
</file>

<file path=xl/calcChain.xml><?xml version="1.0" encoding="utf-8"?>
<calcChain xmlns="http://schemas.openxmlformats.org/spreadsheetml/2006/main">
  <c r="K29" i="9" l="1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9" i="9"/>
  <c r="I9" i="21"/>
  <c r="I10" i="21"/>
  <c r="I11" i="21"/>
  <c r="I12" i="21"/>
  <c r="I13" i="21"/>
  <c r="I8" i="21"/>
  <c r="I14" i="21" s="1"/>
  <c r="Q9" i="21"/>
  <c r="Q10" i="21"/>
  <c r="Q11" i="21"/>
  <c r="Q12" i="21"/>
  <c r="Q13" i="21"/>
  <c r="Q8" i="21"/>
  <c r="Q16" i="9"/>
  <c r="O16" i="9"/>
  <c r="G16" i="9"/>
  <c r="E16" i="9"/>
  <c r="I16" i="9" s="1"/>
  <c r="O10" i="9"/>
  <c r="O11" i="9"/>
  <c r="O12" i="9"/>
  <c r="O13" i="9"/>
  <c r="O14" i="9"/>
  <c r="O15" i="9"/>
  <c r="O17" i="9"/>
  <c r="O18" i="9"/>
  <c r="O19" i="9"/>
  <c r="O20" i="9"/>
  <c r="O21" i="9"/>
  <c r="O22" i="9"/>
  <c r="O23" i="9"/>
  <c r="O24" i="9"/>
  <c r="O25" i="9"/>
  <c r="O26" i="9"/>
  <c r="O27" i="9"/>
  <c r="O28" i="9"/>
  <c r="O9" i="9"/>
  <c r="Q14" i="21"/>
  <c r="Q9" i="19"/>
  <c r="Q10" i="19"/>
  <c r="Q8" i="19"/>
  <c r="O14" i="21"/>
  <c r="M14" i="21"/>
  <c r="G14" i="21"/>
  <c r="E14" i="21"/>
  <c r="Y14" i="2"/>
  <c r="K11" i="7"/>
  <c r="K10" i="7"/>
  <c r="K9" i="7"/>
  <c r="I10" i="7"/>
  <c r="I9" i="7"/>
  <c r="Y10" i="2"/>
  <c r="Y11" i="2"/>
  <c r="Y12" i="2"/>
  <c r="Y13" i="2"/>
  <c r="Y9" i="2"/>
  <c r="W15" i="2"/>
  <c r="E15" i="2"/>
  <c r="G15" i="2"/>
  <c r="K15" i="2"/>
  <c r="O15" i="2"/>
  <c r="U15" i="2"/>
  <c r="A3" i="26"/>
  <c r="C29" i="9"/>
  <c r="Y15" i="2" l="1"/>
  <c r="S16" i="9"/>
  <c r="O29" i="9"/>
  <c r="G14" i="9"/>
  <c r="G15" i="9"/>
  <c r="G9" i="9"/>
  <c r="G10" i="9"/>
  <c r="I10" i="9" s="1"/>
  <c r="G11" i="9"/>
  <c r="I11" i="9" s="1"/>
  <c r="O11" i="19"/>
  <c r="I11" i="19"/>
  <c r="Q11" i="19"/>
  <c r="M11" i="19"/>
  <c r="G11" i="19"/>
  <c r="E11" i="19"/>
  <c r="G9" i="13"/>
  <c r="G8" i="13"/>
  <c r="C9" i="13"/>
  <c r="C8" i="13"/>
  <c r="I11" i="7"/>
  <c r="E21" i="23"/>
  <c r="F21" i="23"/>
  <c r="H21" i="23"/>
  <c r="L21" i="23"/>
  <c r="J21" i="23"/>
  <c r="M9" i="18"/>
  <c r="M8" i="18"/>
  <c r="G9" i="18"/>
  <c r="G8" i="18"/>
  <c r="I10" i="18"/>
  <c r="C10" i="18"/>
  <c r="A3" i="21"/>
  <c r="A3" i="23"/>
  <c r="A3" i="19"/>
  <c r="Q11" i="9" s="1"/>
  <c r="A3" i="24"/>
  <c r="A3" i="18"/>
  <c r="A3" i="13"/>
  <c r="A3" i="9"/>
  <c r="A3" i="8"/>
  <c r="A3" i="7"/>
  <c r="A1" i="21"/>
  <c r="E15" i="9" s="1"/>
  <c r="I15" i="9" s="1"/>
  <c r="A1" i="23"/>
  <c r="A1" i="19"/>
  <c r="A1" i="24"/>
  <c r="A1" i="18"/>
  <c r="A1" i="13"/>
  <c r="A1" i="9"/>
  <c r="A1" i="8"/>
  <c r="A1" i="7"/>
  <c r="S11" i="9" l="1"/>
  <c r="Q10" i="9"/>
  <c r="S10" i="9" s="1"/>
  <c r="Q15" i="9"/>
  <c r="S15" i="9" s="1"/>
  <c r="Q13" i="9"/>
  <c r="S13" i="9" s="1"/>
  <c r="Q12" i="9"/>
  <c r="S12" i="9" s="1"/>
  <c r="G22" i="9"/>
  <c r="I22" i="9" s="1"/>
  <c r="S23" i="9"/>
  <c r="Q14" i="9"/>
  <c r="S14" i="9" s="1"/>
  <c r="E9" i="9"/>
  <c r="I9" i="9" s="1"/>
  <c r="E14" i="9"/>
  <c r="I14" i="9" s="1"/>
  <c r="E13" i="9"/>
  <c r="E12" i="9"/>
  <c r="I12" i="9" s="1"/>
  <c r="Q22" i="9"/>
  <c r="S22" i="9" s="1"/>
  <c r="G21" i="9"/>
  <c r="I21" i="9" s="1"/>
  <c r="Q21" i="9"/>
  <c r="S21" i="9" s="1"/>
  <c r="G20" i="9"/>
  <c r="I20" i="9" s="1"/>
  <c r="Q20" i="9"/>
  <c r="S20" i="9" s="1"/>
  <c r="G19" i="9"/>
  <c r="I19" i="9" s="1"/>
  <c r="Q9" i="9"/>
  <c r="S9" i="9" s="1"/>
  <c r="Q19" i="9"/>
  <c r="S19" i="9" s="1"/>
  <c r="G18" i="9"/>
  <c r="I18" i="9" s="1"/>
  <c r="Q18" i="9"/>
  <c r="S18" i="9" s="1"/>
  <c r="G17" i="9"/>
  <c r="I17" i="9" s="1"/>
  <c r="Q17" i="9"/>
  <c r="S17" i="9" s="1"/>
  <c r="G28" i="9"/>
  <c r="I28" i="9" s="1"/>
  <c r="Q28" i="9"/>
  <c r="S28" i="9" s="1"/>
  <c r="G27" i="9"/>
  <c r="I27" i="9" s="1"/>
  <c r="Q27" i="9"/>
  <c r="S27" i="9" s="1"/>
  <c r="G26" i="9"/>
  <c r="I26" i="9" s="1"/>
  <c r="Q26" i="9"/>
  <c r="S26" i="9" s="1"/>
  <c r="G25" i="9"/>
  <c r="I25" i="9" s="1"/>
  <c r="Q25" i="9"/>
  <c r="S25" i="9" s="1"/>
  <c r="G24" i="9"/>
  <c r="I24" i="9" s="1"/>
  <c r="Q24" i="9"/>
  <c r="S24" i="9" s="1"/>
  <c r="G23" i="9"/>
  <c r="I23" i="9" s="1"/>
  <c r="Q23" i="9"/>
  <c r="M10" i="18"/>
  <c r="G10" i="13"/>
  <c r="G10" i="18"/>
  <c r="C10" i="13"/>
  <c r="E8" i="13" s="1"/>
  <c r="D9" i="24"/>
  <c r="F9" i="24"/>
  <c r="F10" i="8" s="1"/>
  <c r="J10" i="8" s="1"/>
  <c r="Q29" i="9" l="1"/>
  <c r="S29" i="9"/>
  <c r="F8" i="8" s="1"/>
  <c r="I9" i="13"/>
  <c r="F9" i="8"/>
  <c r="J9" i="8" s="1"/>
  <c r="E29" i="9"/>
  <c r="I8" i="13"/>
  <c r="I10" i="13" s="1"/>
  <c r="M29" i="9"/>
  <c r="E9" i="13"/>
  <c r="F11" i="8" l="1"/>
  <c r="U16" i="9" s="1"/>
  <c r="E10" i="13"/>
  <c r="J8" i="8"/>
  <c r="J11" i="8" s="1"/>
  <c r="C11" i="7"/>
  <c r="E11" i="7"/>
  <c r="G11" i="7"/>
  <c r="U9" i="9" l="1"/>
  <c r="U26" i="9"/>
  <c r="U14" i="9"/>
  <c r="U27" i="9"/>
  <c r="U15" i="9"/>
  <c r="U28" i="9"/>
  <c r="U17" i="9"/>
  <c r="U18" i="9"/>
  <c r="U19" i="9"/>
  <c r="U24" i="9"/>
  <c r="U25" i="9"/>
  <c r="U20" i="9"/>
  <c r="U21" i="9"/>
  <c r="U22" i="9"/>
  <c r="U10" i="9"/>
  <c r="U23" i="9"/>
  <c r="U11" i="9"/>
  <c r="U12" i="9"/>
  <c r="U13" i="9"/>
  <c r="H8" i="8"/>
  <c r="H10" i="8"/>
  <c r="H9" i="8"/>
  <c r="U29" i="9" l="1"/>
  <c r="H11" i="8"/>
  <c r="G13" i="9"/>
  <c r="G29" i="9" s="1"/>
  <c r="I13" i="9" l="1"/>
  <c r="I29" i="9" l="1"/>
</calcChain>
</file>

<file path=xl/sharedStrings.xml><?xml version="1.0" encoding="utf-8"?>
<sst xmlns="http://schemas.openxmlformats.org/spreadsheetml/2006/main" count="261" uniqueCount="104">
  <si>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</si>
  <si>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</si>
  <si>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</si>
  <si>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</si>
  <si>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</si>
  <si>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</si>
  <si>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</si>
  <si>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</si>
  <si>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</si>
  <si>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</si>
  <si>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</si>
  <si>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</si>
  <si>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</si>
  <si>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</si>
  <si>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</si>
  <si>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</si>
  <si>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</si>
  <si>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تاریخ اعمال</t>
  </si>
  <si>
    <t>مبلغ</t>
  </si>
  <si>
    <t>افزایش</t>
  </si>
  <si>
    <t>کاهش</t>
  </si>
  <si>
    <t>سپرده کوتاه مدت بانک پاسارگاد جهان کودک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</si>
  <si>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</si>
  <si>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</si>
  <si>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</si>
  <si>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</si>
  <si>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</si>
  <si>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</si>
  <si>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</si>
  <si>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</si>
  <si>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</si>
  <si>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</si>
  <si>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</si>
  <si>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</si>
  <si>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</si>
  <si>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</si>
  <si>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</si>
  <si>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</si>
  <si>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</si>
  <si>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</si>
  <si>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</si>
  <si>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</si>
  <si>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</si>
  <si>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</si>
  <si>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</si>
  <si>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</si>
  <si>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</si>
  <si>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</si>
  <si>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</si>
  <si>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</si>
  <si>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</si>
  <si>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</si>
  <si>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</si>
  <si>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</si>
  <si>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</si>
  <si>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</si>
  <si>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</si>
  <si>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2-1-سرمایه‌گذاری در  سپرده‌ بانکی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</si>
  <si>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</si>
  <si>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</si>
  <si>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</si>
  <si>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</si>
  <si>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</si>
  <si>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</si>
  <si>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</si>
  <si>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</si>
  <si>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</si>
  <si>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</si>
  <si>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</si>
  <si>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</si>
  <si>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</si>
  <si>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</si>
  <si>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</si>
  <si>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</si>
  <si>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</si>
  <si>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صندوق سرمایه گذاری کالایی درفش دماوند</t>
  </si>
  <si>
    <t>1404/11/19</t>
  </si>
  <si>
    <t>سپرده کوتاه مدت بانک ملت ظفر</t>
  </si>
  <si>
    <t>1405/02/31</t>
  </si>
  <si>
    <t>شمش نقره SilverBar</t>
  </si>
  <si>
    <t>-</t>
  </si>
  <si>
    <t>موقعیت خرید</t>
  </si>
  <si>
    <t>اختیار خرید</t>
  </si>
  <si>
    <t>قیمت اعمال</t>
  </si>
  <si>
    <t>تعداد اوراق</t>
  </si>
  <si>
    <t>استراتژی ماخوذه</t>
  </si>
  <si>
    <t>نوع موقعیت</t>
  </si>
  <si>
    <t>نوع اختیار</t>
  </si>
  <si>
    <t>نام سهام</t>
  </si>
  <si>
    <t>‫برای ماه منتهی به 31 خرداد ماه 1405</t>
  </si>
  <si>
    <t>برای ماه منتهی به 1405/03/31</t>
  </si>
  <si>
    <t>1405/03/31</t>
  </si>
  <si>
    <t>1-1-سرمایه گذاری در شمش طلا و اختیار گواهی شمش طلا</t>
  </si>
  <si>
    <t>اختیار خرید گواهی سپرده پیوسته شمش طلای +995 GBAB05C1800 18000000-1405/08/19</t>
  </si>
  <si>
    <t>اختیار خرید گواهی سپرده پیوسته شمش طلای +995 GBAB05C2000 20000000-1405/08/19</t>
  </si>
  <si>
    <t>اختیار خرید گواهی سپرده پیوسته شمش طلای +995 GBAB05C2200 22000000-1405/08/19</t>
  </si>
  <si>
    <t>اختیار خرید گواهی سپرده پیوسته شمش طلای +995 GBBA05C1800 18000000-1405/11/27</t>
  </si>
  <si>
    <t>اختیار خرید گواهی سپرده پیوسته شمش طلای +995 GBAB05C2400 24000000-1405/08/19</t>
  </si>
  <si>
    <t>1405/08/19</t>
  </si>
  <si>
    <t>1405/11/27</t>
  </si>
  <si>
    <t>اطلاعات آماری مرتبط با موقعیت های اخذ شده در اوراق اختیار معامله توسط صندوق سرمایه گذاری:</t>
  </si>
  <si>
    <t>سپرده کوتاه مدت بانک گردشگری مرکزی</t>
  </si>
  <si>
    <t>درآمد حاصل از سرمایه گذاری در شمش و اختیار گواهی شمش</t>
  </si>
  <si>
    <t>1-2-درآمد حاصل از سرمایه گذاری در شمش و اختیار گواهی شمش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</si>
</sst>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11" fillId="0" borderId="0"/>
    <xf numFmtId="164" fontId="14" fillId="0" borderId="0" applyFont="0" applyFill="0" applyBorder="0" applyAlignment="0" applyProtection="0"/>
    <xf numFmtId="0" fontId="1" fillId="0" borderId="0"/>
  </cellStyleXfs>
  <cellXfs count="10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7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37" fontId="5" fillId="0" borderId="4" xfId="1" applyNumberFormat="1" applyFont="1" applyBorder="1" applyAlignment="1">
      <alignment horizontal="center" vertical="center"/>
    </xf>
    <xf numFmtId="37" fontId="6" fillId="0" borderId="0" xfId="1" applyNumberFormat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9" fillId="0" borderId="0" xfId="2" applyFont="1"/>
    <xf numFmtId="0" fontId="10" fillId="0" borderId="0" xfId="2" applyFont="1"/>
    <xf numFmtId="0" fontId="12" fillId="0" borderId="0" xfId="3" applyFont="1"/>
    <xf numFmtId="3" fontId="0" fillId="0" borderId="0" xfId="0" applyNumberForma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0" fillId="0" borderId="0" xfId="4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5" fillId="0" borderId="5" xfId="0" applyNumberFormat="1" applyFont="1" applyBorder="1" applyAlignment="1">
      <alignment horizontal="right" vertical="center"/>
    </xf>
    <xf numFmtId="37" fontId="5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7" fontId="5" fillId="0" borderId="7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right" vertical="center"/>
    </xf>
    <xf numFmtId="38" fontId="5" fillId="0" borderId="7" xfId="0" applyNumberFormat="1" applyFont="1" applyBorder="1" applyAlignment="1">
      <alignment horizontal="right" vertical="center"/>
    </xf>
    <xf numFmtId="37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0" fontId="5" fillId="0" borderId="0" xfId="0" applyNumberFormat="1" applyFont="1" applyAlignment="1">
      <alignment horizontal="right" vertical="center"/>
    </xf>
    <xf numFmtId="40" fontId="5" fillId="0" borderId="7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1" applyNumberFormat="1" applyAlignment="1">
      <alignment horizontal="left"/>
    </xf>
    <xf numFmtId="38" fontId="0" fillId="0" borderId="0" xfId="0" applyNumberFormat="1" applyAlignment="1">
      <alignment horizontal="left"/>
    </xf>
    <xf numFmtId="0" fontId="2" fillId="0" borderId="0" xfId="1" applyFont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38" fontId="5" fillId="0" borderId="4" xfId="1" applyNumberFormat="1" applyFont="1" applyBorder="1" applyAlignment="1">
      <alignment horizontal="center" vertical="center"/>
    </xf>
    <xf numFmtId="38" fontId="5" fillId="0" borderId="5" xfId="1" applyNumberFormat="1" applyFont="1" applyBorder="1" applyAlignment="1">
      <alignment horizontal="center" vertical="center"/>
    </xf>
    <xf numFmtId="37" fontId="13" fillId="0" borderId="0" xfId="3" applyNumberFormat="1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2" fillId="0" borderId="4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</cellXfs>
  <cellStyles count="6">
    <cellStyle name="Comma" xfId="4" builtinId="3"/>
    <cellStyle name="Normal" xfId="0" builtinId="0"/>
    <cellStyle name="Normal 2" xfId="1" xr:uid="{97F292BD-A027-4234-A894-DCEB32A59C53}"/>
    <cellStyle name="Normal 2 3" xfId="2" xr:uid="{F37677BA-7B71-4671-B820-D228169998FE}"/>
    <cellStyle name="Normal 3" xfId="5" xr:uid="{C612CF76-5B3F-4FF2-BBFC-4D01A6F12B81}"/>
    <cellStyle name="Normal 4" xfId="3" xr:uid="{768FB3C2-6F59-4F50-95D8-1EED574D5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sheetPr>
    <tabColor rgb="FF92D050"/>
  </sheetPr>
  <dimension ref="A15:I27"/>
  <sheetViews>
    <sheetView rightToLeft="1" tabSelected="1" view="pageBreakPreview" topLeftCell="A4" zoomScaleNormal="100" zoomScaleSheetLayoutView="100" workbookViewId="0">
      <selection activeCell="C34" sqref="C34"/>
    </sheetView>
  </sheetViews>
  <sheetFormatPr defaultRowHeight="18.75"/>
  <cols>
    <col min="1" max="16384" width="9.140625" style="39"/>
  </cols>
  <sheetData>
    <row r="15" spans="1:9" ht="33.75" customHeight="1">
      <c r="A15" s="81" t="s">
        <v>75</v>
      </c>
      <c r="B15" s="81"/>
      <c r="C15" s="81"/>
      <c r="D15" s="81"/>
      <c r="E15" s="81"/>
      <c r="F15" s="81"/>
      <c r="G15" s="81"/>
      <c r="H15" s="81"/>
      <c r="I15" s="81"/>
    </row>
    <row r="16" spans="1:9" ht="33.75" customHeight="1">
      <c r="A16" s="81" t="s">
        <v>74</v>
      </c>
      <c r="B16" s="81"/>
      <c r="C16" s="81"/>
      <c r="D16" s="81"/>
      <c r="E16" s="81"/>
      <c r="F16" s="81"/>
      <c r="G16" s="81"/>
      <c r="H16" s="81"/>
      <c r="I16" s="81"/>
    </row>
    <row r="17" spans="1:9" ht="33.75" customHeight="1">
      <c r="A17" s="82" t="s">
        <v>73</v>
      </c>
      <c r="B17" s="82"/>
      <c r="C17" s="82"/>
      <c r="D17" s="82"/>
      <c r="E17" s="82"/>
      <c r="F17" s="82"/>
      <c r="G17" s="82"/>
      <c r="H17" s="82"/>
      <c r="I17" s="82"/>
    </row>
    <row r="18" spans="1:9" ht="33.75" customHeight="1">
      <c r="A18" s="81" t="s">
        <v>89</v>
      </c>
      <c r="B18" s="81"/>
      <c r="C18" s="81"/>
      <c r="D18" s="81"/>
      <c r="E18" s="81"/>
      <c r="F18" s="81"/>
      <c r="G18" s="81"/>
      <c r="H18" s="81"/>
      <c r="I18" s="81"/>
    </row>
    <row r="19" spans="1:9">
      <c r="A19" s="41"/>
      <c r="B19" s="41"/>
      <c r="C19" s="41"/>
      <c r="D19" s="41"/>
      <c r="E19" s="41"/>
      <c r="F19" s="41"/>
      <c r="G19" s="41"/>
      <c r="H19" s="41"/>
      <c r="I19" s="41"/>
    </row>
    <row r="20" spans="1:9">
      <c r="A20" s="41"/>
      <c r="B20" s="41"/>
      <c r="C20" s="41"/>
      <c r="D20" s="41"/>
      <c r="E20" s="41"/>
      <c r="F20" s="41"/>
      <c r="G20" s="41"/>
      <c r="H20" s="41"/>
      <c r="I20" s="41"/>
    </row>
    <row r="21" spans="1:9">
      <c r="A21" s="41"/>
      <c r="B21" s="41"/>
      <c r="C21" s="41"/>
      <c r="D21" s="41"/>
      <c r="E21" s="41"/>
      <c r="F21" s="41"/>
      <c r="G21" s="41"/>
      <c r="H21" s="41"/>
      <c r="I21" s="41"/>
    </row>
    <row r="22" spans="1:9">
      <c r="A22" s="41"/>
      <c r="B22" s="41"/>
      <c r="C22" s="41"/>
      <c r="D22" s="41"/>
      <c r="E22" s="41"/>
      <c r="F22" s="41"/>
      <c r="G22" s="41"/>
      <c r="H22" s="41"/>
      <c r="I22" s="41"/>
    </row>
    <row r="23" spans="1:9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34.5" customHeight="1">
      <c r="A24" s="41"/>
      <c r="B24" s="41"/>
      <c r="C24" s="41"/>
      <c r="D24" s="41"/>
      <c r="E24" s="41"/>
      <c r="F24" s="41"/>
      <c r="G24" s="41"/>
      <c r="H24" s="41"/>
      <c r="I24" s="41"/>
    </row>
    <row r="27" spans="1:9">
      <c r="C27" s="40" t="s">
        <v>72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18"/>
  <sheetViews>
    <sheetView rightToLeft="1" view="pageBreakPreview" zoomScale="118" zoomScaleNormal="100" zoomScaleSheetLayoutView="118" workbookViewId="0">
      <selection activeCell="K25" sqref="K25"/>
    </sheetView>
  </sheetViews>
  <sheetFormatPr defaultRowHeight="12.75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2" bestFit="1" customWidth="1"/>
    <col min="10" max="10" width="1.28515625" customWidth="1"/>
    <col min="11" max="11" width="8.85546875" bestFit="1" customWidth="1"/>
    <col min="12" max="12" width="1.28515625" customWidth="1"/>
    <col min="13" max="13" width="18.28515625" bestFit="1" customWidth="1"/>
    <col min="14" max="14" width="1.28515625" customWidth="1"/>
    <col min="15" max="15" width="18.28515625" bestFit="1" customWidth="1"/>
    <col min="16" max="16" width="1.28515625" customWidth="1"/>
    <col min="17" max="17" width="22" bestFit="1" customWidth="1"/>
    <col min="18" max="18" width="17.28515625" bestFit="1" customWidth="1"/>
    <col min="19" max="19" width="16.42578125" bestFit="1" customWidth="1"/>
  </cols>
  <sheetData>
    <row r="1" spans="1:19" ht="29.1" customHeight="1">
      <c r="A1" s="85" t="str">
        <f>'گواهی شمش'!A1</f>
        <v>صندوق سرمایه گذاری کالایی درفش دماوند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9" ht="21.75" customHeight="1">
      <c r="A2" s="85" t="s">
        <v>22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9" ht="21.75" customHeight="1">
      <c r="A3" s="85" t="str">
        <f>'گواهی شمش'!A3</f>
        <v>برای ماه منتهی به 1405/03/31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9" ht="14.45" customHeight="1"/>
    <row r="5" spans="1:19" ht="14.45" customHeight="1">
      <c r="A5" s="89" t="s">
        <v>45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</row>
    <row r="6" spans="1:19" ht="14.45" customHeight="1">
      <c r="A6" s="86" t="s">
        <v>25</v>
      </c>
      <c r="C6" s="86" t="s">
        <v>32</v>
      </c>
      <c r="D6" s="86"/>
      <c r="E6" s="86"/>
      <c r="F6" s="86"/>
      <c r="G6" s="86"/>
      <c r="H6" s="86"/>
      <c r="I6" s="86"/>
      <c r="K6" s="86" t="s">
        <v>33</v>
      </c>
      <c r="L6" s="86"/>
      <c r="M6" s="86"/>
      <c r="N6" s="86"/>
      <c r="O6" s="86"/>
      <c r="P6" s="86"/>
      <c r="Q6" s="86"/>
    </row>
    <row r="7" spans="1:19" ht="29.1" customHeight="1">
      <c r="A7" s="86"/>
      <c r="C7" s="7" t="s">
        <v>4</v>
      </c>
      <c r="D7" s="3"/>
      <c r="E7" s="7" t="s">
        <v>46</v>
      </c>
      <c r="F7" s="3"/>
      <c r="G7" s="7" t="s">
        <v>47</v>
      </c>
      <c r="H7" s="3"/>
      <c r="I7" s="7" t="s">
        <v>48</v>
      </c>
      <c r="K7" s="7" t="s">
        <v>4</v>
      </c>
      <c r="L7" s="3"/>
      <c r="M7" s="7" t="s">
        <v>46</v>
      </c>
      <c r="N7" s="3"/>
      <c r="O7" s="7" t="s">
        <v>47</v>
      </c>
      <c r="P7" s="3"/>
      <c r="Q7" s="7" t="s">
        <v>48</v>
      </c>
    </row>
    <row r="8" spans="1:19" ht="21.75" customHeight="1">
      <c r="A8" s="5" t="s">
        <v>15</v>
      </c>
      <c r="C8" s="11">
        <v>25700</v>
      </c>
      <c r="D8" s="11"/>
      <c r="E8" s="53">
        <v>623796507327</v>
      </c>
      <c r="F8" s="53"/>
      <c r="G8" s="53">
        <v>414820421191</v>
      </c>
      <c r="H8" s="53"/>
      <c r="I8" s="53">
        <v>208976086136</v>
      </c>
      <c r="J8" s="53"/>
      <c r="K8" s="53">
        <v>490618</v>
      </c>
      <c r="L8" s="53"/>
      <c r="M8" s="53">
        <v>8930673633511</v>
      </c>
      <c r="N8" s="53"/>
      <c r="O8" s="53">
        <v>6465051297077</v>
      </c>
      <c r="P8" s="53"/>
      <c r="Q8" s="54">
        <f>M8-O8</f>
        <v>2465622336434</v>
      </c>
      <c r="R8" s="21"/>
      <c r="S8" s="21"/>
    </row>
    <row r="9" spans="1:19" ht="21.75" customHeight="1">
      <c r="A9" s="6" t="s">
        <v>37</v>
      </c>
      <c r="C9" s="12">
        <v>0</v>
      </c>
      <c r="D9" s="12"/>
      <c r="E9" s="54">
        <v>0</v>
      </c>
      <c r="F9" s="54"/>
      <c r="G9" s="54">
        <v>0</v>
      </c>
      <c r="H9" s="54"/>
      <c r="I9" s="54">
        <v>0</v>
      </c>
      <c r="J9" s="54"/>
      <c r="K9" s="54">
        <v>470</v>
      </c>
      <c r="L9" s="54"/>
      <c r="M9" s="54">
        <v>591232602928</v>
      </c>
      <c r="N9" s="54"/>
      <c r="O9" s="54">
        <v>548848187915</v>
      </c>
      <c r="P9" s="54"/>
      <c r="Q9" s="54">
        <f t="shared" ref="Q9:Q10" si="0">M9-O9</f>
        <v>42384415013</v>
      </c>
      <c r="R9" s="21"/>
    </row>
    <row r="10" spans="1:19" ht="21.75" customHeight="1">
      <c r="A10" s="6" t="s">
        <v>79</v>
      </c>
      <c r="C10" s="12">
        <v>0</v>
      </c>
      <c r="D10" s="12"/>
      <c r="E10" s="54">
        <v>0</v>
      </c>
      <c r="F10" s="54"/>
      <c r="G10" s="54">
        <v>0</v>
      </c>
      <c r="H10" s="54"/>
      <c r="I10" s="54">
        <v>0</v>
      </c>
      <c r="J10" s="54"/>
      <c r="K10" s="54">
        <v>7000</v>
      </c>
      <c r="L10" s="54"/>
      <c r="M10" s="54">
        <v>38198140755</v>
      </c>
      <c r="N10" s="54"/>
      <c r="O10" s="54">
        <v>35552408356</v>
      </c>
      <c r="P10" s="54"/>
      <c r="Q10" s="54">
        <f t="shared" si="0"/>
        <v>2645732399</v>
      </c>
      <c r="R10" s="21"/>
    </row>
    <row r="11" spans="1:19" ht="21.75" customHeight="1" thickBot="1">
      <c r="A11" s="18"/>
      <c r="C11" s="12"/>
      <c r="D11" s="14"/>
      <c r="E11" s="55">
        <f>SUM(E8:E10)</f>
        <v>623796507327</v>
      </c>
      <c r="F11" s="56"/>
      <c r="G11" s="55">
        <f>SUM(G8:G10)</f>
        <v>414820421191</v>
      </c>
      <c r="H11" s="56"/>
      <c r="I11" s="55">
        <f>SUM(I8:I10)</f>
        <v>208976086136</v>
      </c>
      <c r="J11" s="56"/>
      <c r="K11" s="54"/>
      <c r="L11" s="56"/>
      <c r="M11" s="55">
        <f>SUM(M8:M10)</f>
        <v>9560104377194</v>
      </c>
      <c r="N11" s="56"/>
      <c r="O11" s="55">
        <f>SUM(O8:O10)</f>
        <v>7049451893348</v>
      </c>
      <c r="P11" s="56"/>
      <c r="Q11" s="55">
        <f>SUM(Q8:Q10)</f>
        <v>2510652483846</v>
      </c>
      <c r="R11" s="21"/>
    </row>
    <row r="12" spans="1:19" ht="13.5" thickTop="1">
      <c r="I12" s="21"/>
      <c r="Q12" s="38"/>
      <c r="R12" s="38"/>
    </row>
    <row r="13" spans="1:19">
      <c r="I13" s="21"/>
      <c r="Q13" s="21"/>
      <c r="R13" s="21"/>
    </row>
    <row r="14" spans="1:19">
      <c r="Q14" s="21"/>
    </row>
    <row r="16" spans="1:19">
      <c r="G16" s="74"/>
      <c r="Q16" s="21"/>
    </row>
    <row r="17" spans="7:17">
      <c r="G17" s="21"/>
    </row>
    <row r="18" spans="7:17">
      <c r="Q18" s="7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tabColor rgb="FF92D050"/>
    <pageSetUpPr fitToPage="1"/>
  </sheetPr>
  <dimension ref="A1:L22"/>
  <sheetViews>
    <sheetView rightToLeft="1" view="pageBreakPreview" zoomScale="96" zoomScaleNormal="100" zoomScaleSheetLayoutView="96" workbookViewId="0">
      <selection activeCell="J32" sqref="J32"/>
    </sheetView>
  </sheetViews>
  <sheetFormatPr defaultRowHeight="12.75"/>
  <cols>
    <col min="1" max="1" width="98.85546875" style="24" bestFit="1" customWidth="1"/>
    <col min="2" max="2" width="1.28515625" style="24" customWidth="1"/>
    <col min="3" max="3" width="11" style="24" bestFit="1" customWidth="1"/>
    <col min="4" max="4" width="1.28515625" style="24" customWidth="1"/>
    <col min="5" max="5" width="10.42578125" style="24" customWidth="1"/>
    <col min="6" max="6" width="16.140625" style="24" customWidth="1"/>
    <col min="7" max="7" width="1.28515625" style="24" customWidth="1"/>
    <col min="8" max="8" width="15.42578125" style="24" customWidth="1"/>
    <col min="9" max="9" width="1.28515625" style="24" customWidth="1"/>
    <col min="10" max="10" width="15.5703125" style="24" customWidth="1"/>
    <col min="11" max="11" width="1.28515625" style="24" customWidth="1"/>
    <col min="12" max="12" width="15.5703125" style="24" customWidth="1"/>
    <col min="13" max="16384" width="9.140625" style="24"/>
  </cols>
  <sheetData>
    <row r="1" spans="1:12" ht="25.5">
      <c r="A1" s="87" t="str">
        <f>'گواهی شمش'!A1</f>
        <v>صندوق سرمایه گذاری کالایی درفش دماوند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25.5">
      <c r="A2" s="87" t="s">
        <v>22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25.5">
      <c r="A3" s="87" t="str">
        <f>'گواهی شمش'!A3</f>
        <v>برای ماه منتهی به 1405/03/31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7.35" customHeight="1"/>
    <row r="5" spans="1:12" ht="24">
      <c r="A5" s="101" t="s">
        <v>49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ht="7.35" customHeight="1"/>
    <row r="7" spans="1:12" ht="14.45" customHeight="1">
      <c r="C7" s="102" t="s">
        <v>32</v>
      </c>
      <c r="D7" s="102"/>
      <c r="E7" s="102"/>
      <c r="F7" s="102"/>
      <c r="G7" s="102"/>
      <c r="H7" s="102"/>
      <c r="I7" s="102"/>
      <c r="J7" s="102"/>
      <c r="L7" s="27" t="s">
        <v>33</v>
      </c>
    </row>
    <row r="8" spans="1:12" ht="21">
      <c r="A8" s="27" t="s">
        <v>50</v>
      </c>
      <c r="C8" s="25" t="s">
        <v>17</v>
      </c>
      <c r="D8" s="26"/>
      <c r="E8" s="25" t="s">
        <v>4</v>
      </c>
      <c r="F8" s="25" t="s">
        <v>51</v>
      </c>
      <c r="G8" s="26"/>
      <c r="H8" s="25" t="s">
        <v>52</v>
      </c>
      <c r="I8" s="26"/>
      <c r="J8" s="25" t="s">
        <v>53</v>
      </c>
      <c r="L8" s="25" t="s">
        <v>53</v>
      </c>
    </row>
    <row r="9" spans="1:12" ht="18.75">
      <c r="A9" s="6" t="s">
        <v>59</v>
      </c>
      <c r="C9" s="28" t="s">
        <v>66</v>
      </c>
      <c r="E9" s="29">
        <v>0</v>
      </c>
      <c r="F9" s="29">
        <v>0</v>
      </c>
      <c r="G9" s="29"/>
      <c r="H9" s="29">
        <v>0</v>
      </c>
      <c r="I9" s="29"/>
      <c r="J9" s="29">
        <v>0</v>
      </c>
      <c r="K9" s="29"/>
      <c r="L9" s="29">
        <v>2323243497</v>
      </c>
    </row>
    <row r="10" spans="1:12" ht="18.75">
      <c r="A10" s="6" t="s">
        <v>60</v>
      </c>
      <c r="C10" s="28" t="s">
        <v>66</v>
      </c>
      <c r="E10" s="29">
        <v>0</v>
      </c>
      <c r="F10" s="29">
        <v>0</v>
      </c>
      <c r="G10" s="29"/>
      <c r="H10" s="29">
        <v>0</v>
      </c>
      <c r="I10" s="29"/>
      <c r="J10" s="29">
        <v>0</v>
      </c>
      <c r="K10" s="29"/>
      <c r="L10" s="29">
        <v>950536282</v>
      </c>
    </row>
    <row r="11" spans="1:12" ht="18.75">
      <c r="A11" s="6" t="s">
        <v>61</v>
      </c>
      <c r="C11" s="28" t="s">
        <v>66</v>
      </c>
      <c r="E11" s="29">
        <v>0</v>
      </c>
      <c r="F11" s="29">
        <v>0</v>
      </c>
      <c r="G11" s="29"/>
      <c r="H11" s="29">
        <v>0</v>
      </c>
      <c r="I11" s="29"/>
      <c r="J11" s="29">
        <v>0</v>
      </c>
      <c r="K11" s="29"/>
      <c r="L11" s="29">
        <v>11623371119</v>
      </c>
    </row>
    <row r="12" spans="1:12" ht="18.75">
      <c r="A12" s="6" t="s">
        <v>62</v>
      </c>
      <c r="C12" s="28" t="s">
        <v>66</v>
      </c>
      <c r="E12" s="29">
        <v>0</v>
      </c>
      <c r="F12" s="29">
        <v>0</v>
      </c>
      <c r="G12" s="29"/>
      <c r="H12" s="29">
        <v>0</v>
      </c>
      <c r="I12" s="29"/>
      <c r="J12" s="29">
        <v>0</v>
      </c>
      <c r="K12" s="29"/>
      <c r="L12" s="29">
        <v>9403317173</v>
      </c>
    </row>
    <row r="13" spans="1:12" ht="18.75">
      <c r="A13" s="6" t="s">
        <v>63</v>
      </c>
      <c r="C13" s="28" t="s">
        <v>66</v>
      </c>
      <c r="E13" s="29">
        <v>0</v>
      </c>
      <c r="F13" s="29">
        <v>0</v>
      </c>
      <c r="G13" s="29"/>
      <c r="H13" s="29">
        <v>0</v>
      </c>
      <c r="I13" s="29"/>
      <c r="J13" s="29">
        <v>0</v>
      </c>
      <c r="K13" s="29"/>
      <c r="L13" s="29">
        <v>3737822385</v>
      </c>
    </row>
    <row r="14" spans="1:12" ht="18.75">
      <c r="A14" s="6" t="s">
        <v>64</v>
      </c>
      <c r="C14" s="28" t="s">
        <v>66</v>
      </c>
      <c r="E14" s="29">
        <v>0</v>
      </c>
      <c r="F14" s="29">
        <v>0</v>
      </c>
      <c r="G14" s="29"/>
      <c r="H14" s="29">
        <v>0</v>
      </c>
      <c r="I14" s="29"/>
      <c r="J14" s="29">
        <v>0</v>
      </c>
      <c r="K14" s="29"/>
      <c r="L14" s="29">
        <v>993815288</v>
      </c>
    </row>
    <row r="15" spans="1:12" ht="18.75">
      <c r="A15" s="6" t="s">
        <v>65</v>
      </c>
      <c r="C15" s="28" t="s">
        <v>66</v>
      </c>
      <c r="E15" s="29">
        <v>0</v>
      </c>
      <c r="F15" s="29">
        <v>0</v>
      </c>
      <c r="G15" s="29"/>
      <c r="H15" s="29">
        <v>0</v>
      </c>
      <c r="I15" s="29"/>
      <c r="J15" s="29">
        <v>0</v>
      </c>
      <c r="K15" s="29"/>
      <c r="L15" s="29">
        <v>824652506</v>
      </c>
    </row>
    <row r="16" spans="1:12" ht="18.75">
      <c r="A16" s="6" t="s">
        <v>10</v>
      </c>
      <c r="C16" s="28" t="s">
        <v>76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/>
      <c r="L16" s="29">
        <v>7851327396</v>
      </c>
    </row>
    <row r="17" spans="1:12" ht="18.75">
      <c r="A17" s="6" t="s">
        <v>11</v>
      </c>
      <c r="C17" s="28" t="s">
        <v>76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/>
      <c r="L17" s="29">
        <v>13506334256</v>
      </c>
    </row>
    <row r="18" spans="1:12" ht="18.75">
      <c r="A18" s="6" t="s">
        <v>12</v>
      </c>
      <c r="C18" s="28" t="s">
        <v>76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/>
      <c r="L18" s="29">
        <v>12192942597</v>
      </c>
    </row>
    <row r="19" spans="1:12" ht="18.75">
      <c r="A19" s="6" t="s">
        <v>13</v>
      </c>
      <c r="C19" s="28" t="s">
        <v>76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/>
      <c r="L19" s="29">
        <v>21986883549</v>
      </c>
    </row>
    <row r="20" spans="1:12" ht="18.75">
      <c r="A20" s="6" t="s">
        <v>14</v>
      </c>
      <c r="C20" s="28" t="s">
        <v>76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/>
      <c r="L20" s="29">
        <v>7953236119</v>
      </c>
    </row>
    <row r="21" spans="1:12" ht="19.5" thickBot="1">
      <c r="E21" s="30">
        <f>SUM(E9:E20)</f>
        <v>0</v>
      </c>
      <c r="F21" s="30">
        <f>SUM(F9:F20)</f>
        <v>0</v>
      </c>
      <c r="G21" s="29"/>
      <c r="H21" s="30">
        <f>SUM(H9:H20)</f>
        <v>0</v>
      </c>
      <c r="I21" s="29"/>
      <c r="J21" s="30">
        <f>SUM(J9:J20)</f>
        <v>0</v>
      </c>
      <c r="K21" s="29"/>
      <c r="L21" s="30">
        <f>SUM(L9:L20)</f>
        <v>93347482167</v>
      </c>
    </row>
    <row r="22" spans="1:12" ht="13.5" thickTop="1"/>
  </sheetData>
  <mergeCells count="5">
    <mergeCell ref="C7:J7"/>
    <mergeCell ref="A1:L1"/>
    <mergeCell ref="A2:L2"/>
    <mergeCell ref="A3:L3"/>
    <mergeCell ref="A5:L5"/>
  </mergeCells>
  <phoneticPr fontId="7" type="noConversion"/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19"/>
  <sheetViews>
    <sheetView rightToLeft="1" view="pageBreakPreview" zoomScaleNormal="100" zoomScaleSheetLayoutView="100" workbookViewId="0">
      <selection activeCell="R30" sqref="R30"/>
    </sheetView>
  </sheetViews>
  <sheetFormatPr defaultRowHeight="12.75"/>
  <cols>
    <col min="1" max="1" width="81.28515625" bestFit="1" customWidth="1"/>
    <col min="2" max="2" width="1.28515625" customWidth="1"/>
    <col min="3" max="3" width="10.5703125" bestFit="1" customWidth="1"/>
    <col min="4" max="4" width="1.28515625" customWidth="1"/>
    <col min="5" max="5" width="19.710937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0.570312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26.42578125" bestFit="1" customWidth="1"/>
    <col min="18" max="18" width="17.5703125" bestFit="1" customWidth="1"/>
  </cols>
  <sheetData>
    <row r="1" spans="1:18" ht="29.1" customHeight="1">
      <c r="A1" s="85" t="str">
        <f>'گواهی شمش'!A1</f>
        <v>صندوق سرمایه گذاری کالایی درفش دماوند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21.75" customHeight="1">
      <c r="A2" s="85" t="s">
        <v>22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8" ht="21.75" customHeight="1">
      <c r="A3" s="85" t="str">
        <f>'گواهی شمش'!A3</f>
        <v>برای ماه منتهی به 1405/03/31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8" ht="14.45" customHeight="1"/>
    <row r="5" spans="1:18" ht="14.45" customHeight="1">
      <c r="A5" s="89" t="s">
        <v>54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</row>
    <row r="6" spans="1:18" ht="14.45" customHeight="1">
      <c r="A6" s="86" t="s">
        <v>25</v>
      </c>
      <c r="C6" s="86" t="s">
        <v>32</v>
      </c>
      <c r="D6" s="86"/>
      <c r="E6" s="86"/>
      <c r="F6" s="86"/>
      <c r="G6" s="86"/>
      <c r="H6" s="86"/>
      <c r="I6" s="86"/>
      <c r="K6" s="86" t="s">
        <v>33</v>
      </c>
      <c r="L6" s="86"/>
      <c r="M6" s="86"/>
      <c r="N6" s="86"/>
      <c r="O6" s="86"/>
      <c r="P6" s="86"/>
      <c r="Q6" s="86"/>
    </row>
    <row r="7" spans="1:18" ht="29.1" customHeight="1">
      <c r="A7" s="86"/>
      <c r="C7" s="7" t="s">
        <v>4</v>
      </c>
      <c r="D7" s="3"/>
      <c r="E7" s="7" t="s">
        <v>6</v>
      </c>
      <c r="F7" s="3"/>
      <c r="G7" s="7" t="s">
        <v>47</v>
      </c>
      <c r="H7" s="3"/>
      <c r="I7" s="7" t="s">
        <v>55</v>
      </c>
      <c r="K7" s="7" t="s">
        <v>4</v>
      </c>
      <c r="L7" s="3"/>
      <c r="M7" s="7" t="s">
        <v>6</v>
      </c>
      <c r="N7" s="3"/>
      <c r="O7" s="7" t="s">
        <v>47</v>
      </c>
      <c r="P7" s="3"/>
      <c r="Q7" s="7" t="s">
        <v>55</v>
      </c>
    </row>
    <row r="8" spans="1:18" ht="21.75" customHeight="1">
      <c r="A8" s="6" t="s">
        <v>15</v>
      </c>
      <c r="C8" s="57">
        <v>1225500</v>
      </c>
      <c r="D8" s="58"/>
      <c r="E8" s="57">
        <v>25661484760824</v>
      </c>
      <c r="F8" s="58"/>
      <c r="G8" s="57">
        <v>31251268938623</v>
      </c>
      <c r="H8" s="58"/>
      <c r="I8" s="57">
        <f>E8-G8</f>
        <v>-5589784177799</v>
      </c>
      <c r="J8" s="58"/>
      <c r="K8" s="57">
        <v>1225500</v>
      </c>
      <c r="L8" s="58"/>
      <c r="M8" s="57">
        <v>25661484760824</v>
      </c>
      <c r="N8" s="58"/>
      <c r="O8" s="57">
        <v>20240016773533</v>
      </c>
      <c r="P8" s="58"/>
      <c r="Q8" s="57">
        <f>M8-O8</f>
        <v>5421467987291</v>
      </c>
      <c r="R8" s="21"/>
    </row>
    <row r="9" spans="1:18" ht="21.75" customHeight="1">
      <c r="A9" s="6" t="s">
        <v>93</v>
      </c>
      <c r="C9" s="57">
        <v>49665</v>
      </c>
      <c r="D9" s="57"/>
      <c r="E9" s="57">
        <v>396960923390</v>
      </c>
      <c r="F9" s="57"/>
      <c r="G9" s="57">
        <v>517326742630</v>
      </c>
      <c r="H9" s="57"/>
      <c r="I9" s="57">
        <f t="shared" ref="I9:I13" si="0">E9-G9</f>
        <v>-120365819240</v>
      </c>
      <c r="J9" s="57"/>
      <c r="K9" s="57">
        <v>49665</v>
      </c>
      <c r="L9" s="57"/>
      <c r="M9" s="57">
        <v>396960923390</v>
      </c>
      <c r="N9" s="57"/>
      <c r="O9" s="57">
        <v>608275110570</v>
      </c>
      <c r="P9" s="58"/>
      <c r="Q9" s="57">
        <f t="shared" ref="Q9:Q13" si="1">M9-O9</f>
        <v>-211314187180</v>
      </c>
      <c r="R9" s="21"/>
    </row>
    <row r="10" spans="1:18" ht="21.75" customHeight="1">
      <c r="A10" s="6" t="s">
        <v>97</v>
      </c>
      <c r="C10" s="57">
        <v>2365</v>
      </c>
      <c r="D10" s="58"/>
      <c r="E10" s="57">
        <v>20320805954</v>
      </c>
      <c r="F10" s="58"/>
      <c r="G10" s="57">
        <v>29483497677</v>
      </c>
      <c r="H10" s="58"/>
      <c r="I10" s="57">
        <f t="shared" si="0"/>
        <v>-9162691723</v>
      </c>
      <c r="J10" s="58"/>
      <c r="K10" s="57">
        <v>2365</v>
      </c>
      <c r="L10" s="58"/>
      <c r="M10" s="57">
        <v>20320805954</v>
      </c>
      <c r="N10" s="58"/>
      <c r="O10" s="57">
        <v>29483497677</v>
      </c>
      <c r="P10" s="58"/>
      <c r="Q10" s="57">
        <f t="shared" si="1"/>
        <v>-9162691723</v>
      </c>
      <c r="R10" s="21"/>
    </row>
    <row r="11" spans="1:18" ht="21.75" customHeight="1">
      <c r="A11" s="6" t="s">
        <v>94</v>
      </c>
      <c r="C11" s="57">
        <v>8661</v>
      </c>
      <c r="D11" s="58"/>
      <c r="E11" s="57">
        <v>60572435700</v>
      </c>
      <c r="F11" s="58"/>
      <c r="G11" s="57">
        <v>83333760675</v>
      </c>
      <c r="H11" s="58"/>
      <c r="I11" s="57">
        <f t="shared" si="0"/>
        <v>-22761324975</v>
      </c>
      <c r="J11" s="58"/>
      <c r="K11" s="57">
        <v>8661</v>
      </c>
      <c r="L11" s="58"/>
      <c r="M11" s="57">
        <v>60572435700</v>
      </c>
      <c r="N11" s="58"/>
      <c r="O11" s="57">
        <v>71437002188</v>
      </c>
      <c r="P11" s="58"/>
      <c r="Q11" s="57">
        <f t="shared" si="1"/>
        <v>-10864566488</v>
      </c>
      <c r="R11" s="21"/>
    </row>
    <row r="12" spans="1:18" ht="21.75" customHeight="1">
      <c r="A12" s="6" t="s">
        <v>95</v>
      </c>
      <c r="C12" s="57">
        <v>19530</v>
      </c>
      <c r="D12" s="58"/>
      <c r="E12" s="57">
        <v>126830749500</v>
      </c>
      <c r="F12" s="58"/>
      <c r="G12" s="57">
        <v>207928380144</v>
      </c>
      <c r="H12" s="58"/>
      <c r="I12" s="57">
        <f t="shared" si="0"/>
        <v>-81097630644</v>
      </c>
      <c r="J12" s="58"/>
      <c r="K12" s="57">
        <v>19530</v>
      </c>
      <c r="L12" s="58"/>
      <c r="M12" s="57">
        <v>126830749500</v>
      </c>
      <c r="N12" s="58"/>
      <c r="O12" s="57">
        <v>210404839339</v>
      </c>
      <c r="P12" s="58"/>
      <c r="Q12" s="57">
        <f t="shared" si="1"/>
        <v>-83574089839</v>
      </c>
      <c r="R12" s="21"/>
    </row>
    <row r="13" spans="1:18" ht="21.75" customHeight="1">
      <c r="A13" s="6" t="s">
        <v>96</v>
      </c>
      <c r="C13" s="57">
        <v>27220</v>
      </c>
      <c r="D13" s="58"/>
      <c r="E13" s="57">
        <v>163173012000</v>
      </c>
      <c r="F13" s="58"/>
      <c r="G13" s="57">
        <v>272616147766</v>
      </c>
      <c r="H13" s="58"/>
      <c r="I13" s="57">
        <f t="shared" si="0"/>
        <v>-109443135766</v>
      </c>
      <c r="J13" s="58"/>
      <c r="K13" s="57">
        <v>27220</v>
      </c>
      <c r="L13" s="58"/>
      <c r="M13" s="57">
        <v>163173012000</v>
      </c>
      <c r="N13" s="58"/>
      <c r="O13" s="57">
        <v>249845317880</v>
      </c>
      <c r="P13" s="58"/>
      <c r="Q13" s="57">
        <f t="shared" si="1"/>
        <v>-86672305880</v>
      </c>
      <c r="R13" s="21"/>
    </row>
    <row r="14" spans="1:18" ht="21.75" customHeight="1" thickBot="1">
      <c r="A14" s="18"/>
      <c r="C14" s="57"/>
      <c r="D14" s="58"/>
      <c r="E14" s="59">
        <f>SUM(E8:E13)</f>
        <v>26429342687368</v>
      </c>
      <c r="F14" s="58"/>
      <c r="G14" s="59">
        <f>SUM(G8:G13)</f>
        <v>32361957467515</v>
      </c>
      <c r="H14" s="58"/>
      <c r="I14" s="59">
        <f>SUM(I8:I13)</f>
        <v>-5932614780147</v>
      </c>
      <c r="J14" s="58"/>
      <c r="K14" s="57"/>
      <c r="L14" s="58"/>
      <c r="M14" s="59">
        <f>SUM(M8:M13)</f>
        <v>26429342687368</v>
      </c>
      <c r="N14" s="58"/>
      <c r="O14" s="59">
        <f>SUM(O8:O13)</f>
        <v>21409462541187</v>
      </c>
      <c r="P14" s="58"/>
      <c r="Q14" s="59">
        <f>SUM(Q8:Q13)</f>
        <v>5019880146181</v>
      </c>
      <c r="R14" s="21"/>
    </row>
    <row r="15" spans="1:18" ht="13.5" thickTop="1">
      <c r="Q15" s="74"/>
      <c r="R15" s="21"/>
    </row>
    <row r="16" spans="1:18" ht="18.75">
      <c r="I16" s="21"/>
      <c r="Q16" s="12"/>
    </row>
    <row r="17" spans="9:17" ht="18.75">
      <c r="I17" s="21"/>
      <c r="Q17" s="12"/>
    </row>
    <row r="19" spans="9:17">
      <c r="I19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24"/>
  <sheetViews>
    <sheetView rightToLeft="1" view="pageBreakPreview" topLeftCell="D1" zoomScaleNormal="100" zoomScaleSheetLayoutView="100" workbookViewId="0">
      <selection activeCell="W23" sqref="W23"/>
    </sheetView>
  </sheetViews>
  <sheetFormatPr defaultRowHeight="12.75"/>
  <cols>
    <col min="1" max="1" width="81.28515625" bestFit="1" customWidth="1"/>
    <col min="2" max="2" width="2.42578125" customWidth="1"/>
    <col min="3" max="3" width="10.5703125" bestFit="1" customWidth="1"/>
    <col min="4" max="4" width="1.28515625" customWidth="1"/>
    <col min="5" max="5" width="19.5703125" bestFit="1" customWidth="1"/>
    <col min="6" max="6" width="1.28515625" customWidth="1"/>
    <col min="7" max="7" width="19.7109375" bestFit="1" customWidth="1"/>
    <col min="8" max="8" width="1.28515625" customWidth="1"/>
    <col min="9" max="9" width="7.85546875" bestFit="1" customWidth="1"/>
    <col min="10" max="10" width="1.28515625" customWidth="1"/>
    <col min="11" max="11" width="18.5703125" bestFit="1" customWidth="1"/>
    <col min="12" max="12" width="1.28515625" customWidth="1"/>
    <col min="13" max="13" width="8.5703125" bestFit="1" customWidth="1"/>
    <col min="14" max="14" width="1.28515625" customWidth="1"/>
    <col min="15" max="15" width="16.5703125" bestFit="1" customWidth="1"/>
    <col min="16" max="16" width="1.28515625" customWidth="1"/>
    <col min="17" max="17" width="10.5703125" bestFit="1" customWidth="1"/>
    <col min="18" max="18" width="1.28515625" customWidth="1"/>
    <col min="19" max="19" width="16.140625" bestFit="1" customWidth="1"/>
    <col min="20" max="20" width="1.28515625" customWidth="1"/>
    <col min="21" max="21" width="19.5703125" bestFit="1" customWidth="1"/>
    <col min="22" max="22" width="1.28515625" customWidth="1"/>
    <col min="23" max="23" width="19.5703125" bestFit="1" customWidth="1"/>
    <col min="24" max="24" width="1.28515625" customWidth="1"/>
    <col min="25" max="25" width="18.28515625" bestFit="1" customWidth="1"/>
    <col min="26" max="26" width="0.28515625" customWidth="1"/>
    <col min="27" max="27" width="14.85546875" bestFit="1" customWidth="1"/>
    <col min="28" max="28" width="18.7109375" bestFit="1" customWidth="1"/>
    <col min="29" max="29" width="17.85546875" bestFit="1" customWidth="1"/>
  </cols>
  <sheetData>
    <row r="1" spans="1:28" ht="29.1" customHeight="1">
      <c r="A1" s="85" t="s">
        <v>75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8" ht="21.75" customHeight="1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8" ht="21.75" customHeight="1">
      <c r="A3" s="85" t="s">
        <v>90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8" ht="14.45" customHeight="1">
      <c r="A4" s="84" t="s">
        <v>56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</row>
    <row r="5" spans="1:28" ht="14.45" customHeight="1">
      <c r="A5" s="84" t="s">
        <v>92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</row>
    <row r="6" spans="1:28" ht="14.45" customHeight="1">
      <c r="C6" s="86" t="s">
        <v>78</v>
      </c>
      <c r="D6" s="86"/>
      <c r="E6" s="86"/>
      <c r="F6" s="86"/>
      <c r="G6" s="86"/>
      <c r="I6" s="86" t="s">
        <v>1</v>
      </c>
      <c r="J6" s="86"/>
      <c r="K6" s="86"/>
      <c r="L6" s="86"/>
      <c r="M6" s="86"/>
      <c r="N6" s="86"/>
      <c r="O6" s="86"/>
      <c r="Q6" s="86" t="s">
        <v>91</v>
      </c>
      <c r="R6" s="86"/>
      <c r="S6" s="86"/>
      <c r="T6" s="86"/>
      <c r="U6" s="86"/>
      <c r="V6" s="86"/>
      <c r="W6" s="86"/>
      <c r="X6" s="86"/>
      <c r="Y6" s="86"/>
    </row>
    <row r="7" spans="1:28" ht="14.45" customHeight="1">
      <c r="C7" s="3"/>
      <c r="D7" s="3"/>
      <c r="E7" s="3"/>
      <c r="F7" s="3"/>
      <c r="G7" s="3"/>
      <c r="I7" s="83" t="s">
        <v>2</v>
      </c>
      <c r="J7" s="83"/>
      <c r="K7" s="83"/>
      <c r="L7" s="3"/>
      <c r="M7" s="83" t="s">
        <v>3</v>
      </c>
      <c r="N7" s="83"/>
      <c r="O7" s="83"/>
      <c r="Q7" s="3"/>
      <c r="R7" s="3"/>
      <c r="S7" s="3"/>
      <c r="T7" s="3"/>
      <c r="U7" s="3"/>
      <c r="V7" s="3"/>
      <c r="W7" s="3"/>
      <c r="X7" s="3"/>
      <c r="Y7" s="3"/>
    </row>
    <row r="8" spans="1:28" ht="14.45" customHeight="1">
      <c r="A8" s="2"/>
      <c r="C8" s="45" t="s">
        <v>4</v>
      </c>
      <c r="E8" s="45" t="s">
        <v>5</v>
      </c>
      <c r="G8" s="45" t="s">
        <v>6</v>
      </c>
      <c r="I8" s="46" t="s">
        <v>4</v>
      </c>
      <c r="J8" s="3"/>
      <c r="K8" s="46" t="s">
        <v>5</v>
      </c>
      <c r="M8" s="46" t="s">
        <v>4</v>
      </c>
      <c r="N8" s="3"/>
      <c r="O8" s="46" t="s">
        <v>7</v>
      </c>
      <c r="Q8" s="45" t="s">
        <v>4</v>
      </c>
      <c r="S8" s="45" t="s">
        <v>8</v>
      </c>
      <c r="U8" s="45" t="s">
        <v>5</v>
      </c>
      <c r="W8" s="45" t="s">
        <v>6</v>
      </c>
      <c r="Y8" s="2" t="s">
        <v>9</v>
      </c>
    </row>
    <row r="9" spans="1:28" ht="21.75" customHeight="1">
      <c r="A9" s="8" t="s">
        <v>15</v>
      </c>
      <c r="C9" s="57">
        <v>1183000</v>
      </c>
      <c r="D9" s="58"/>
      <c r="E9" s="57">
        <v>16312402232508</v>
      </c>
      <c r="F9" s="58"/>
      <c r="G9" s="57">
        <v>30129564232040</v>
      </c>
      <c r="H9" s="58"/>
      <c r="I9" s="57">
        <v>68200</v>
      </c>
      <c r="J9" s="58"/>
      <c r="K9" s="57">
        <v>1538025841017</v>
      </c>
      <c r="L9" s="58"/>
      <c r="M9" s="57">
        <v>-25700</v>
      </c>
      <c r="N9" s="58"/>
      <c r="O9" s="57">
        <v>623796507327</v>
      </c>
      <c r="P9" s="58"/>
      <c r="Q9" s="57">
        <v>1225500</v>
      </c>
      <c r="R9" s="58"/>
      <c r="S9" s="57">
        <v>20989980</v>
      </c>
      <c r="T9" s="58"/>
      <c r="U9" s="57">
        <v>17494764094482</v>
      </c>
      <c r="V9" s="58"/>
      <c r="W9" s="57">
        <v>25661484760824</v>
      </c>
      <c r="X9" s="48"/>
      <c r="Y9" s="63">
        <f>W9/26443961822761*100</f>
        <v>97.040999124180018</v>
      </c>
      <c r="AA9" s="21"/>
      <c r="AB9" s="21"/>
    </row>
    <row r="10" spans="1:28" ht="21.75" customHeight="1">
      <c r="A10" s="8" t="s">
        <v>93</v>
      </c>
      <c r="C10" s="57">
        <v>34025</v>
      </c>
      <c r="D10" s="57"/>
      <c r="E10" s="57">
        <v>457407757390</v>
      </c>
      <c r="F10" s="57"/>
      <c r="G10" s="57">
        <v>366459389450</v>
      </c>
      <c r="H10" s="57"/>
      <c r="I10" s="57">
        <v>15640</v>
      </c>
      <c r="J10" s="57"/>
      <c r="K10" s="57">
        <v>150867353184.79599</v>
      </c>
      <c r="L10" s="57"/>
      <c r="M10" s="57">
        <v>0</v>
      </c>
      <c r="N10" s="57"/>
      <c r="O10" s="57">
        <v>0</v>
      </c>
      <c r="P10" s="57"/>
      <c r="Q10" s="57">
        <v>49665</v>
      </c>
      <c r="R10" s="57"/>
      <c r="S10" s="57">
        <v>7999970</v>
      </c>
      <c r="T10" s="57"/>
      <c r="U10" s="57">
        <v>608275110570</v>
      </c>
      <c r="V10" s="57"/>
      <c r="W10" s="57">
        <v>396960923390</v>
      </c>
      <c r="X10" s="48"/>
      <c r="Y10" s="63">
        <f t="shared" ref="Y10:Y13" si="0">W10/26443961822761*100</f>
        <v>1.5011401319159579</v>
      </c>
      <c r="AA10" s="21"/>
      <c r="AB10" s="21"/>
    </row>
    <row r="11" spans="1:28" ht="21.75" customHeight="1">
      <c r="A11" s="8" t="s">
        <v>94</v>
      </c>
      <c r="C11" s="57">
        <v>16520</v>
      </c>
      <c r="D11" s="58"/>
      <c r="E11" s="57">
        <v>184032911195</v>
      </c>
      <c r="F11" s="58"/>
      <c r="G11" s="57">
        <v>181556452000</v>
      </c>
      <c r="H11" s="58"/>
      <c r="I11" s="57">
        <v>3010</v>
      </c>
      <c r="J11" s="58"/>
      <c r="K11" s="57">
        <v>26371928147.974701</v>
      </c>
      <c r="L11" s="58"/>
      <c r="M11" s="57">
        <v>0</v>
      </c>
      <c r="N11" s="58"/>
      <c r="O11" s="57">
        <v>0</v>
      </c>
      <c r="P11" s="58"/>
      <c r="Q11" s="57">
        <v>19530</v>
      </c>
      <c r="R11" s="58"/>
      <c r="S11" s="57">
        <v>6500000</v>
      </c>
      <c r="T11" s="58"/>
      <c r="U11" s="57">
        <v>210404839339</v>
      </c>
      <c r="V11" s="58"/>
      <c r="W11" s="57">
        <v>126830749500</v>
      </c>
      <c r="X11" s="48"/>
      <c r="Y11" s="63">
        <f t="shared" si="0"/>
        <v>0.47962083121309573</v>
      </c>
      <c r="AA11" s="21"/>
      <c r="AB11" s="21"/>
    </row>
    <row r="12" spans="1:28" ht="21.75" customHeight="1">
      <c r="A12" s="8" t="s">
        <v>95</v>
      </c>
      <c r="C12" s="57">
        <v>15520</v>
      </c>
      <c r="D12" s="58"/>
      <c r="E12" s="57">
        <v>163301554114</v>
      </c>
      <c r="F12" s="58"/>
      <c r="G12" s="57">
        <v>186072384000</v>
      </c>
      <c r="H12" s="58"/>
      <c r="I12" s="57">
        <v>11700</v>
      </c>
      <c r="J12" s="58"/>
      <c r="K12" s="57">
        <v>86543763768.937302</v>
      </c>
      <c r="L12" s="58"/>
      <c r="M12" s="57">
        <v>0</v>
      </c>
      <c r="N12" s="58"/>
      <c r="O12" s="57">
        <v>0</v>
      </c>
      <c r="P12" s="58"/>
      <c r="Q12" s="57">
        <v>27220</v>
      </c>
      <c r="R12" s="58"/>
      <c r="S12" s="57">
        <v>6000000</v>
      </c>
      <c r="T12" s="58"/>
      <c r="U12" s="57">
        <v>249845317880</v>
      </c>
      <c r="V12" s="58"/>
      <c r="W12" s="57">
        <v>163173012000</v>
      </c>
      <c r="X12" s="48"/>
      <c r="Y12" s="63">
        <f t="shared" si="0"/>
        <v>0.61705206312751815</v>
      </c>
      <c r="AA12" s="21"/>
      <c r="AB12" s="21"/>
    </row>
    <row r="13" spans="1:28" ht="21.75" customHeight="1">
      <c r="A13" s="8" t="s">
        <v>97</v>
      </c>
      <c r="C13" s="57">
        <v>5805</v>
      </c>
      <c r="D13" s="58"/>
      <c r="E13" s="57">
        <v>51900766213</v>
      </c>
      <c r="F13" s="58"/>
      <c r="G13" s="57">
        <v>63797524700.224503</v>
      </c>
      <c r="H13" s="58"/>
      <c r="I13" s="57">
        <v>2856</v>
      </c>
      <c r="J13" s="58"/>
      <c r="K13" s="57">
        <v>19536235976.9128</v>
      </c>
      <c r="L13" s="58"/>
      <c r="M13" s="57">
        <v>0</v>
      </c>
      <c r="N13" s="58"/>
      <c r="O13" s="57">
        <v>0</v>
      </c>
      <c r="P13" s="58"/>
      <c r="Q13" s="57">
        <v>8661</v>
      </c>
      <c r="R13" s="58"/>
      <c r="S13" s="57">
        <v>7000000</v>
      </c>
      <c r="T13" s="58"/>
      <c r="U13" s="57">
        <v>71437002188</v>
      </c>
      <c r="V13" s="58"/>
      <c r="W13" s="57">
        <v>60572435700</v>
      </c>
      <c r="X13" s="48"/>
      <c r="Y13" s="63">
        <f t="shared" si="0"/>
        <v>0.22905960954709798</v>
      </c>
      <c r="AA13" s="21"/>
      <c r="AB13" s="21"/>
    </row>
    <row r="14" spans="1:28" ht="21.75" customHeight="1">
      <c r="A14" s="8" t="s">
        <v>96</v>
      </c>
      <c r="C14" s="57">
        <v>0</v>
      </c>
      <c r="D14" s="58"/>
      <c r="E14" s="57">
        <v>0</v>
      </c>
      <c r="F14" s="58"/>
      <c r="G14" s="57">
        <v>0</v>
      </c>
      <c r="H14" s="58"/>
      <c r="I14" s="57">
        <v>2365</v>
      </c>
      <c r="J14" s="58"/>
      <c r="K14" s="57">
        <v>29483497677.960701</v>
      </c>
      <c r="L14" s="58"/>
      <c r="M14" s="57">
        <v>0</v>
      </c>
      <c r="N14" s="58"/>
      <c r="O14" s="57">
        <v>0</v>
      </c>
      <c r="P14" s="58"/>
      <c r="Q14" s="57">
        <v>2365</v>
      </c>
      <c r="R14" s="58"/>
      <c r="S14" s="57">
        <v>8600047</v>
      </c>
      <c r="T14" s="58"/>
      <c r="U14" s="57">
        <v>29483497677</v>
      </c>
      <c r="V14" s="58"/>
      <c r="W14" s="57">
        <v>20320805954</v>
      </c>
      <c r="X14" s="48"/>
      <c r="Y14" s="63">
        <f>W14/26443961822761*100</f>
        <v>7.6844786307736085E-2</v>
      </c>
      <c r="AA14" s="21"/>
      <c r="AB14" s="21"/>
    </row>
    <row r="15" spans="1:28" ht="21.75" customHeight="1" thickBot="1">
      <c r="A15" s="19"/>
      <c r="B15" s="20"/>
      <c r="C15" s="57"/>
      <c r="D15" s="58"/>
      <c r="E15" s="59">
        <f>SUM(E9:E14)</f>
        <v>17169045221420</v>
      </c>
      <c r="F15" s="58"/>
      <c r="G15" s="59">
        <f>SUM(G9:G14)</f>
        <v>30927449982190.223</v>
      </c>
      <c r="H15" s="58"/>
      <c r="I15" s="57"/>
      <c r="J15" s="58"/>
      <c r="K15" s="59">
        <f>SUM(K9:K14)</f>
        <v>1850828619773.5813</v>
      </c>
      <c r="L15" s="58"/>
      <c r="M15" s="57"/>
      <c r="N15" s="58"/>
      <c r="O15" s="59">
        <f>SUM(O9:O14)</f>
        <v>623796507327</v>
      </c>
      <c r="P15" s="58"/>
      <c r="Q15" s="57"/>
      <c r="R15" s="58"/>
      <c r="S15" s="57"/>
      <c r="T15" s="58"/>
      <c r="U15" s="59">
        <f>SUM(U9:U14)</f>
        <v>18664209862136</v>
      </c>
      <c r="V15" s="58"/>
      <c r="W15" s="59">
        <f>SUM(W9:W14)</f>
        <v>26429342687368</v>
      </c>
      <c r="X15" s="48"/>
      <c r="Y15" s="69">
        <f>SUM(Y9:Y14)</f>
        <v>99.944716546291417</v>
      </c>
      <c r="AA15" s="21"/>
    </row>
    <row r="16" spans="1:28" ht="13.5" thickTop="1">
      <c r="U16" s="21"/>
      <c r="W16" s="21"/>
      <c r="AA16" s="21"/>
    </row>
    <row r="17" spans="3:27">
      <c r="E17" s="38"/>
      <c r="G17" s="38"/>
      <c r="U17" s="21"/>
      <c r="W17" s="21"/>
      <c r="AA17" s="21"/>
    </row>
    <row r="18" spans="3:27">
      <c r="U18" s="21"/>
      <c r="W18" s="21"/>
    </row>
    <row r="19" spans="3:27">
      <c r="U19" s="21"/>
      <c r="W19" s="38"/>
    </row>
    <row r="20" spans="3:27">
      <c r="U20" s="21"/>
      <c r="W20" s="44"/>
    </row>
    <row r="23" spans="3:27">
      <c r="K23" s="38"/>
    </row>
    <row r="24" spans="3:27" ht="18.75">
      <c r="C24" s="57"/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1FA0-B951-43E9-B6C5-D9E42E8D257F}">
  <sheetPr>
    <tabColor rgb="FF92D050"/>
    <pageSetUpPr fitToPage="1"/>
  </sheetPr>
  <dimension ref="A1:AW12"/>
  <sheetViews>
    <sheetView rightToLeft="1" view="pageBreakPreview" zoomScale="96" zoomScaleNormal="100" zoomScaleSheetLayoutView="96" workbookViewId="0">
      <selection activeCell="A39" sqref="A39"/>
    </sheetView>
  </sheetViews>
  <sheetFormatPr defaultRowHeight="12.75"/>
  <cols>
    <col min="1" max="1" width="77.28515625" style="24" bestFit="1" customWidth="1"/>
    <col min="2" max="2" width="1.7109375" style="24" customWidth="1"/>
    <col min="3" max="3" width="9.5703125" style="24" bestFit="1" customWidth="1"/>
    <col min="4" max="4" width="1.28515625" style="24" customWidth="1"/>
    <col min="5" max="5" width="10.7109375" style="24" bestFit="1" customWidth="1"/>
    <col min="6" max="6" width="1.28515625" style="24" customWidth="1"/>
    <col min="7" max="7" width="6.42578125" style="24" customWidth="1"/>
    <col min="8" max="8" width="1.28515625" style="24" customWidth="1"/>
    <col min="9" max="9" width="5.140625" style="24" customWidth="1"/>
    <col min="10" max="10" width="1.28515625" style="24" customWidth="1"/>
    <col min="11" max="11" width="9.140625" style="24" customWidth="1"/>
    <col min="12" max="12" width="1.28515625" style="24" customWidth="1"/>
    <col min="13" max="13" width="2.5703125" style="24" customWidth="1"/>
    <col min="14" max="14" width="1.28515625" style="24" customWidth="1"/>
    <col min="15" max="15" width="12.140625" style="24" bestFit="1" customWidth="1"/>
    <col min="16" max="16" width="1.28515625" style="24" customWidth="1"/>
    <col min="17" max="17" width="11" style="24" bestFit="1" customWidth="1"/>
    <col min="18" max="20" width="1.28515625" style="24" customWidth="1"/>
    <col min="21" max="21" width="6.42578125" style="24" customWidth="1"/>
    <col min="22" max="24" width="1.28515625" style="24" customWidth="1"/>
    <col min="25" max="25" width="9.140625" style="24" customWidth="1"/>
    <col min="26" max="26" width="1.28515625" style="24" customWidth="1"/>
    <col min="27" max="27" width="2.5703125" style="24" customWidth="1"/>
    <col min="28" max="28" width="1.28515625" style="24" customWidth="1"/>
    <col min="29" max="29" width="9.140625" style="24" customWidth="1"/>
    <col min="30" max="30" width="1.28515625" style="24" customWidth="1"/>
    <col min="31" max="31" width="5.7109375" style="24" customWidth="1"/>
    <col min="32" max="32" width="1.28515625" style="24" customWidth="1"/>
    <col min="33" max="33" width="9.140625" style="24" customWidth="1"/>
    <col min="34" max="34" width="1.28515625" style="24" customWidth="1"/>
    <col min="35" max="35" width="2.5703125" style="24" customWidth="1"/>
    <col min="36" max="36" width="1.28515625" style="24" customWidth="1"/>
    <col min="37" max="37" width="12.140625" style="24" bestFit="1" customWidth="1"/>
    <col min="38" max="38" width="1.28515625" style="24" customWidth="1"/>
    <col min="39" max="39" width="11" style="24" bestFit="1" customWidth="1"/>
    <col min="40" max="40" width="7.7109375" style="24" customWidth="1"/>
    <col min="41" max="41" width="0.28515625" style="24" customWidth="1"/>
    <col min="42" max="16384" width="9.140625" style="24"/>
  </cols>
  <sheetData>
    <row r="1" spans="1:49" ht="29.1" customHeight="1">
      <c r="A1" s="87" t="s">
        <v>75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</row>
    <row r="2" spans="1:49" ht="21.75" customHeight="1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9" ht="21.75" customHeight="1">
      <c r="A3" s="87" t="str">
        <f>'گواهی شمش'!A3:Y3</f>
        <v>برای ماه منتهی به 1405/03/31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</row>
    <row r="4" spans="1:49" ht="21.75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</row>
    <row r="5" spans="1:49" customFormat="1" ht="14.45" customHeight="1">
      <c r="A5" s="89" t="s">
        <v>100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</row>
    <row r="6" spans="1:49" ht="21.75" customHeight="1">
      <c r="A6" s="75"/>
      <c r="B6" s="75"/>
      <c r="C6" s="94" t="s">
        <v>78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75"/>
      <c r="S6" s="94" t="s">
        <v>91</v>
      </c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75"/>
    </row>
    <row r="7" spans="1:49" ht="14.45" customHeight="1">
      <c r="A7" s="27" t="s">
        <v>88</v>
      </c>
      <c r="B7"/>
      <c r="C7" s="31" t="s">
        <v>87</v>
      </c>
      <c r="D7" s="26"/>
      <c r="E7" s="31" t="s">
        <v>86</v>
      </c>
      <c r="F7" s="26"/>
      <c r="G7" s="88" t="s">
        <v>85</v>
      </c>
      <c r="H7" s="88"/>
      <c r="I7" s="88"/>
      <c r="J7" s="26"/>
      <c r="K7" s="88" t="s">
        <v>84</v>
      </c>
      <c r="L7" s="88"/>
      <c r="M7" s="88"/>
      <c r="N7" s="26"/>
      <c r="O7" s="31" t="s">
        <v>83</v>
      </c>
      <c r="P7" s="26"/>
      <c r="Q7" s="31" t="s">
        <v>17</v>
      </c>
      <c r="S7" s="88" t="s">
        <v>87</v>
      </c>
      <c r="T7" s="88"/>
      <c r="U7" s="88"/>
      <c r="V7" s="26"/>
      <c r="W7" s="88" t="s">
        <v>86</v>
      </c>
      <c r="X7" s="88"/>
      <c r="Y7" s="88"/>
      <c r="Z7" s="88"/>
      <c r="AA7" s="88"/>
      <c r="AB7" s="26"/>
      <c r="AC7" s="88" t="s">
        <v>85</v>
      </c>
      <c r="AD7" s="88"/>
      <c r="AE7" s="88"/>
      <c r="AF7" s="26"/>
      <c r="AG7" s="88" t="s">
        <v>84</v>
      </c>
      <c r="AH7" s="88"/>
      <c r="AI7" s="88"/>
      <c r="AJ7" s="26"/>
      <c r="AK7" s="31" t="s">
        <v>83</v>
      </c>
      <c r="AL7" s="26"/>
      <c r="AM7" s="31" t="s">
        <v>17</v>
      </c>
    </row>
    <row r="8" spans="1:49" customFormat="1" ht="18.75">
      <c r="A8" s="5" t="s">
        <v>93</v>
      </c>
      <c r="C8" s="5" t="s">
        <v>82</v>
      </c>
      <c r="E8" s="5" t="s">
        <v>81</v>
      </c>
      <c r="G8" s="92" t="s">
        <v>80</v>
      </c>
      <c r="H8" s="92"/>
      <c r="I8" s="92"/>
      <c r="K8" s="93">
        <v>34025</v>
      </c>
      <c r="L8" s="93"/>
      <c r="M8" s="93"/>
      <c r="O8" s="76">
        <v>18000000</v>
      </c>
      <c r="Q8" s="5" t="s">
        <v>98</v>
      </c>
      <c r="S8" s="92" t="s">
        <v>82</v>
      </c>
      <c r="T8" s="92"/>
      <c r="U8" s="92"/>
      <c r="W8" s="92" t="s">
        <v>81</v>
      </c>
      <c r="X8" s="92"/>
      <c r="Y8" s="92"/>
      <c r="Z8" s="92"/>
      <c r="AA8" s="92"/>
      <c r="AC8" s="92" t="s">
        <v>80</v>
      </c>
      <c r="AD8" s="92"/>
      <c r="AE8" s="92"/>
      <c r="AG8" s="93">
        <v>49665</v>
      </c>
      <c r="AH8" s="93"/>
      <c r="AI8" s="93"/>
      <c r="AK8" s="76">
        <v>18000000</v>
      </c>
      <c r="AM8" s="5" t="s">
        <v>98</v>
      </c>
    </row>
    <row r="9" spans="1:49" customFormat="1" ht="18.75">
      <c r="A9" s="6" t="s">
        <v>94</v>
      </c>
      <c r="C9" s="6" t="s">
        <v>82</v>
      </c>
      <c r="E9" s="6" t="s">
        <v>81</v>
      </c>
      <c r="G9" s="90" t="s">
        <v>80</v>
      </c>
      <c r="H9" s="90"/>
      <c r="I9" s="90"/>
      <c r="K9" s="91">
        <v>16520</v>
      </c>
      <c r="L9" s="91"/>
      <c r="M9" s="91"/>
      <c r="O9" s="77">
        <v>20000000</v>
      </c>
      <c r="Q9" s="6" t="s">
        <v>98</v>
      </c>
      <c r="S9" s="90" t="s">
        <v>82</v>
      </c>
      <c r="T9" s="90"/>
      <c r="U9" s="90"/>
      <c r="W9" s="90" t="s">
        <v>81</v>
      </c>
      <c r="X9" s="90"/>
      <c r="Y9" s="90"/>
      <c r="Z9" s="90"/>
      <c r="AA9" s="90"/>
      <c r="AC9" s="90" t="s">
        <v>80</v>
      </c>
      <c r="AD9" s="90"/>
      <c r="AE9" s="90"/>
      <c r="AG9" s="91">
        <v>19530</v>
      </c>
      <c r="AH9" s="91"/>
      <c r="AI9" s="91"/>
      <c r="AK9" s="77">
        <v>20000000</v>
      </c>
      <c r="AM9" s="6" t="s">
        <v>98</v>
      </c>
    </row>
    <row r="10" spans="1:49" customFormat="1" ht="18.75">
      <c r="A10" s="6" t="s">
        <v>95</v>
      </c>
      <c r="C10" s="6" t="s">
        <v>82</v>
      </c>
      <c r="E10" s="6" t="s">
        <v>81</v>
      </c>
      <c r="G10" s="90" t="s">
        <v>80</v>
      </c>
      <c r="H10" s="90"/>
      <c r="I10" s="90"/>
      <c r="K10" s="91">
        <v>15520</v>
      </c>
      <c r="L10" s="91"/>
      <c r="M10" s="91"/>
      <c r="O10" s="77">
        <v>22000000</v>
      </c>
      <c r="Q10" s="6" t="s">
        <v>98</v>
      </c>
      <c r="S10" s="90" t="s">
        <v>82</v>
      </c>
      <c r="T10" s="90"/>
      <c r="U10" s="90"/>
      <c r="W10" s="90" t="s">
        <v>81</v>
      </c>
      <c r="X10" s="90"/>
      <c r="Y10" s="90"/>
      <c r="Z10" s="90"/>
      <c r="AA10" s="90"/>
      <c r="AC10" s="90" t="s">
        <v>80</v>
      </c>
      <c r="AD10" s="90"/>
      <c r="AE10" s="90"/>
      <c r="AG10" s="91">
        <v>27220</v>
      </c>
      <c r="AH10" s="91"/>
      <c r="AI10" s="91"/>
      <c r="AK10" s="77">
        <v>22000000</v>
      </c>
      <c r="AM10" s="6" t="s">
        <v>98</v>
      </c>
    </row>
    <row r="11" spans="1:49" customFormat="1" ht="18.75">
      <c r="A11" s="6" t="s">
        <v>97</v>
      </c>
      <c r="C11" s="6" t="s">
        <v>82</v>
      </c>
      <c r="E11" s="6" t="s">
        <v>81</v>
      </c>
      <c r="G11" s="90" t="s">
        <v>80</v>
      </c>
      <c r="H11" s="90"/>
      <c r="I11" s="90"/>
      <c r="K11" s="91">
        <v>5805</v>
      </c>
      <c r="L11" s="91"/>
      <c r="M11" s="91"/>
      <c r="O11" s="77">
        <v>24000000</v>
      </c>
      <c r="Q11" s="6" t="s">
        <v>98</v>
      </c>
      <c r="S11" s="90" t="s">
        <v>82</v>
      </c>
      <c r="T11" s="90"/>
      <c r="U11" s="90"/>
      <c r="W11" s="90" t="s">
        <v>81</v>
      </c>
      <c r="X11" s="90"/>
      <c r="Y11" s="90"/>
      <c r="Z11" s="90"/>
      <c r="AA11" s="90"/>
      <c r="AC11" s="90" t="s">
        <v>80</v>
      </c>
      <c r="AD11" s="90"/>
      <c r="AE11" s="90"/>
      <c r="AG11" s="91">
        <v>8661</v>
      </c>
      <c r="AH11" s="91"/>
      <c r="AI11" s="91"/>
      <c r="AK11" s="77">
        <v>24000000</v>
      </c>
      <c r="AM11" s="6" t="s">
        <v>98</v>
      </c>
    </row>
    <row r="12" spans="1:49" customFormat="1" ht="18.75">
      <c r="A12" s="6" t="s">
        <v>96</v>
      </c>
      <c r="C12" s="6" t="s">
        <v>82</v>
      </c>
      <c r="E12" s="6" t="s">
        <v>81</v>
      </c>
      <c r="G12" s="90" t="s">
        <v>80</v>
      </c>
      <c r="H12" s="90"/>
      <c r="I12" s="90"/>
      <c r="K12" s="91">
        <v>0</v>
      </c>
      <c r="L12" s="91"/>
      <c r="M12" s="91"/>
      <c r="O12" s="77">
        <v>18000000</v>
      </c>
      <c r="Q12" s="6" t="s">
        <v>99</v>
      </c>
      <c r="S12" s="90" t="s">
        <v>82</v>
      </c>
      <c r="T12" s="90"/>
      <c r="U12" s="90"/>
      <c r="W12" s="90" t="s">
        <v>81</v>
      </c>
      <c r="X12" s="90"/>
      <c r="Y12" s="90"/>
      <c r="Z12" s="90"/>
      <c r="AA12" s="90"/>
      <c r="AC12" s="90" t="s">
        <v>80</v>
      </c>
      <c r="AD12" s="90"/>
      <c r="AE12" s="90"/>
      <c r="AG12" s="91">
        <v>2365</v>
      </c>
      <c r="AH12" s="91"/>
      <c r="AI12" s="91"/>
      <c r="AK12" s="77">
        <v>18000000</v>
      </c>
      <c r="AM12" s="6" t="s">
        <v>99</v>
      </c>
    </row>
  </sheetData>
  <mergeCells count="42">
    <mergeCell ref="AG8:AI8"/>
    <mergeCell ref="C6:Q6"/>
    <mergeCell ref="S6:AM6"/>
    <mergeCell ref="AC7:AE7"/>
    <mergeCell ref="AG7:AI7"/>
    <mergeCell ref="K9:M9"/>
    <mergeCell ref="S9:U9"/>
    <mergeCell ref="W9:AA9"/>
    <mergeCell ref="AC9:AE9"/>
    <mergeCell ref="S8:U8"/>
    <mergeCell ref="W8:AA8"/>
    <mergeCell ref="AC8:AE8"/>
    <mergeCell ref="AG9:AI9"/>
    <mergeCell ref="G8:I8"/>
    <mergeCell ref="K8:M8"/>
    <mergeCell ref="G11:I11"/>
    <mergeCell ref="K11:M11"/>
    <mergeCell ref="S11:U11"/>
    <mergeCell ref="W11:AA11"/>
    <mergeCell ref="AC11:AE11"/>
    <mergeCell ref="AG11:AI11"/>
    <mergeCell ref="G10:I10"/>
    <mergeCell ref="K10:M10"/>
    <mergeCell ref="S10:U10"/>
    <mergeCell ref="W10:AA10"/>
    <mergeCell ref="AC10:AE10"/>
    <mergeCell ref="AG10:AI10"/>
    <mergeCell ref="G9:I9"/>
    <mergeCell ref="W12:AA12"/>
    <mergeCell ref="AC12:AE12"/>
    <mergeCell ref="AG12:AI12"/>
    <mergeCell ref="G12:I12"/>
    <mergeCell ref="K12:M12"/>
    <mergeCell ref="S12:U12"/>
    <mergeCell ref="A1:AN1"/>
    <mergeCell ref="A2:AN2"/>
    <mergeCell ref="A3:AN3"/>
    <mergeCell ref="G7:I7"/>
    <mergeCell ref="K7:M7"/>
    <mergeCell ref="S7:U7"/>
    <mergeCell ref="W7:AA7"/>
    <mergeCell ref="A5:AW5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3"/>
  <sheetViews>
    <sheetView rightToLeft="1" view="pageBreakPreview" zoomScale="136" zoomScaleNormal="100" zoomScaleSheetLayoutView="136" workbookViewId="0">
      <selection activeCell="C25" sqref="C25"/>
    </sheetView>
  </sheetViews>
  <sheetFormatPr defaultRowHeight="12.75"/>
  <cols>
    <col min="1" max="1" width="35" customWidth="1"/>
    <col min="2" max="2" width="1.28515625" customWidth="1"/>
    <col min="3" max="3" width="14.4257812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14.5703125" bestFit="1" customWidth="1"/>
    <col min="10" max="10" width="1.28515625" customWidth="1"/>
    <col min="11" max="11" width="18.42578125" bestFit="1" customWidth="1"/>
  </cols>
  <sheetData>
    <row r="1" spans="1:11" ht="29.1" customHeight="1">
      <c r="A1" s="85" t="str">
        <f>'گواهی شمش'!A1</f>
        <v>صندوق سرمایه گذاری کالایی درفش دماوند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1.75" customHeight="1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1.75" customHeight="1">
      <c r="A3" s="85" t="str">
        <f>'گواهی شمش'!A3</f>
        <v>برای ماه منتهی به 1405/03/31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14.45" customHeight="1"/>
    <row r="5" spans="1:11" ht="14.45" customHeight="1">
      <c r="A5" s="84" t="s">
        <v>57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1" ht="14.45" customHeight="1">
      <c r="C6" s="2" t="s">
        <v>78</v>
      </c>
      <c r="E6" s="86" t="s">
        <v>1</v>
      </c>
      <c r="F6" s="86"/>
      <c r="G6" s="86"/>
      <c r="I6" s="95" t="s">
        <v>91</v>
      </c>
      <c r="J6" s="95"/>
      <c r="K6" s="95"/>
    </row>
    <row r="7" spans="1:11" ht="14.45" customHeight="1">
      <c r="C7" s="3"/>
      <c r="E7" s="3"/>
      <c r="F7" s="3"/>
      <c r="G7" s="3"/>
    </row>
    <row r="8" spans="1:11" ht="14.45" customHeight="1">
      <c r="A8" s="2"/>
      <c r="C8" s="2" t="s">
        <v>18</v>
      </c>
      <c r="E8" s="2" t="s">
        <v>19</v>
      </c>
      <c r="G8" s="2" t="s">
        <v>20</v>
      </c>
      <c r="I8" s="2" t="s">
        <v>18</v>
      </c>
      <c r="K8" s="2" t="s">
        <v>9</v>
      </c>
    </row>
    <row r="9" spans="1:11" ht="21.75" customHeight="1">
      <c r="A9" s="9" t="s">
        <v>21</v>
      </c>
      <c r="C9" s="60">
        <v>4075460792</v>
      </c>
      <c r="D9" s="61"/>
      <c r="E9" s="60">
        <v>2550041148416</v>
      </c>
      <c r="F9" s="61"/>
      <c r="G9" s="60">
        <v>2549873621930</v>
      </c>
      <c r="H9" s="61"/>
      <c r="I9" s="62">
        <f>C9+E9-G9</f>
        <v>4242987278</v>
      </c>
      <c r="J9" s="48"/>
      <c r="K9" s="63">
        <f>I9/26443961822761*100</f>
        <v>1.6045202706154081E-2</v>
      </c>
    </row>
    <row r="10" spans="1:11" ht="21.75" customHeight="1">
      <c r="A10" s="78" t="s">
        <v>101</v>
      </c>
      <c r="C10" s="62">
        <v>0</v>
      </c>
      <c r="D10" s="61"/>
      <c r="E10" s="62">
        <v>12000000</v>
      </c>
      <c r="F10" s="61"/>
      <c r="G10" s="62">
        <v>2750000</v>
      </c>
      <c r="H10" s="61"/>
      <c r="I10" s="62">
        <f>C10+E10-G10</f>
        <v>9250000</v>
      </c>
      <c r="J10" s="48"/>
      <c r="K10" s="63">
        <f>I10/26443961822761*100</f>
        <v>3.4979629988870599E-5</v>
      </c>
    </row>
    <row r="11" spans="1:11" ht="21.75" customHeight="1" thickBot="1">
      <c r="A11" s="20"/>
      <c r="C11" s="68">
        <f>SUM(C9:C10)</f>
        <v>4075460792</v>
      </c>
      <c r="D11" s="61"/>
      <c r="E11" s="68">
        <f>SUM(E9:E10)</f>
        <v>2550053148416</v>
      </c>
      <c r="F11" s="61"/>
      <c r="G11" s="68">
        <f>SUM(G9:G10)</f>
        <v>2549876371930</v>
      </c>
      <c r="H11" s="61"/>
      <c r="I11" s="64">
        <f>SUM(I9:I10)</f>
        <v>4252237278</v>
      </c>
      <c r="J11" s="48"/>
      <c r="K11" s="65">
        <f>SUM(K9:K10)</f>
        <v>1.6080182336142952E-2</v>
      </c>
    </row>
    <row r="12" spans="1:11" ht="13.5" thickTop="1">
      <c r="G12" s="21"/>
      <c r="I12" s="21"/>
    </row>
    <row r="13" spans="1:11">
      <c r="C13" s="21"/>
      <c r="I13" s="21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M15"/>
  <sheetViews>
    <sheetView rightToLeft="1" view="pageBreakPreview" zoomScale="118" zoomScaleNormal="100" zoomScaleSheetLayoutView="118" workbookViewId="0">
      <selection activeCell="F14" sqref="F13:F14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3" width="18" bestFit="1" customWidth="1"/>
  </cols>
  <sheetData>
    <row r="1" spans="1:13" ht="29.1" customHeight="1">
      <c r="A1" s="85" t="str">
        <f>'گواهی شمش'!A1</f>
        <v>صندوق سرمایه گذاری کالایی درفش دماوند</v>
      </c>
      <c r="B1" s="85"/>
      <c r="C1" s="85"/>
      <c r="D1" s="85"/>
      <c r="E1" s="85"/>
      <c r="F1" s="85"/>
      <c r="G1" s="85"/>
      <c r="H1" s="85"/>
      <c r="I1" s="85"/>
      <c r="J1" s="85"/>
    </row>
    <row r="2" spans="1:13" ht="21.75" customHeight="1">
      <c r="A2" s="85" t="s">
        <v>22</v>
      </c>
      <c r="B2" s="85"/>
      <c r="C2" s="85"/>
      <c r="D2" s="85"/>
      <c r="E2" s="85"/>
      <c r="F2" s="85"/>
      <c r="G2" s="85"/>
      <c r="H2" s="85"/>
      <c r="I2" s="85"/>
      <c r="J2" s="85"/>
    </row>
    <row r="3" spans="1:13" ht="21.75" customHeight="1">
      <c r="A3" s="85" t="str">
        <f>'گواهی شمش'!A3</f>
        <v>برای ماه منتهی به 1405/03/31</v>
      </c>
      <c r="B3" s="85"/>
      <c r="C3" s="85"/>
      <c r="D3" s="85"/>
      <c r="E3" s="85"/>
      <c r="F3" s="85"/>
      <c r="G3" s="85"/>
      <c r="H3" s="85"/>
      <c r="I3" s="85"/>
      <c r="J3" s="85"/>
    </row>
    <row r="4" spans="1:13" ht="14.45" customHeight="1"/>
    <row r="5" spans="1:13" ht="29.1" customHeight="1">
      <c r="A5" s="1" t="s">
        <v>23</v>
      </c>
      <c r="B5" s="89" t="s">
        <v>24</v>
      </c>
      <c r="C5" s="89"/>
      <c r="D5" s="89"/>
      <c r="E5" s="89"/>
      <c r="F5" s="89"/>
      <c r="G5" s="89"/>
      <c r="H5" s="89"/>
      <c r="I5" s="89"/>
      <c r="J5" s="89"/>
    </row>
    <row r="6" spans="1:13" ht="14.45" customHeight="1"/>
    <row r="7" spans="1:13" ht="14.45" customHeight="1">
      <c r="A7" s="86" t="s">
        <v>25</v>
      </c>
      <c r="B7" s="86"/>
      <c r="D7" s="2" t="s">
        <v>26</v>
      </c>
      <c r="F7" s="2" t="s">
        <v>18</v>
      </c>
      <c r="H7" s="2" t="s">
        <v>27</v>
      </c>
      <c r="J7" s="2" t="s">
        <v>28</v>
      </c>
    </row>
    <row r="8" spans="1:13" ht="21.75" customHeight="1">
      <c r="A8" s="97" t="s">
        <v>102</v>
      </c>
      <c r="B8" s="97"/>
      <c r="C8" s="14"/>
      <c r="D8" s="36" t="s">
        <v>29</v>
      </c>
      <c r="E8" s="14"/>
      <c r="F8" s="11">
        <f>'درآمد سرمایه گذاری در سهام'!S29</f>
        <v>7623880112194</v>
      </c>
      <c r="G8" s="14"/>
      <c r="H8" s="15">
        <f>F8/F11*100</f>
        <v>99.998520002683861</v>
      </c>
      <c r="I8" s="14"/>
      <c r="J8" s="16">
        <f>F8/30938664052581*100</f>
        <v>24.641917631727839</v>
      </c>
      <c r="L8" s="21"/>
      <c r="M8" s="21"/>
    </row>
    <row r="9" spans="1:13" ht="21.75" customHeight="1">
      <c r="A9" s="98" t="s">
        <v>31</v>
      </c>
      <c r="B9" s="98"/>
      <c r="C9" s="14"/>
      <c r="D9" s="37" t="s">
        <v>30</v>
      </c>
      <c r="E9" s="14"/>
      <c r="F9" s="12">
        <f>'درآمد سپرده بانکی'!G10</f>
        <v>112834891</v>
      </c>
      <c r="G9" s="14"/>
      <c r="H9" s="16">
        <f>F9/F11*100</f>
        <v>1.4799973161457596E-3</v>
      </c>
      <c r="I9" s="14"/>
      <c r="J9" s="16">
        <f t="shared" ref="J9:J10" si="0">F9/30938664052581*100</f>
        <v>3.647051172223675E-4</v>
      </c>
      <c r="L9" s="21"/>
      <c r="M9" s="21"/>
    </row>
    <row r="10" spans="1:13" ht="21.75" customHeight="1">
      <c r="A10" s="98" t="s">
        <v>70</v>
      </c>
      <c r="B10" s="98"/>
      <c r="C10" s="14"/>
      <c r="D10" s="37" t="s">
        <v>71</v>
      </c>
      <c r="E10" s="14"/>
      <c r="F10" s="12">
        <f>'سایر درآمدها'!F9</f>
        <v>0</v>
      </c>
      <c r="G10" s="14"/>
      <c r="H10" s="16">
        <f>F10/F11*100</f>
        <v>0</v>
      </c>
      <c r="I10" s="14"/>
      <c r="J10" s="16">
        <f t="shared" si="0"/>
        <v>0</v>
      </c>
      <c r="L10" s="38"/>
      <c r="M10" s="38"/>
    </row>
    <row r="11" spans="1:13" ht="21.75" customHeight="1" thickBot="1">
      <c r="A11" s="96"/>
      <c r="B11" s="96"/>
      <c r="C11" s="14"/>
      <c r="D11" s="12"/>
      <c r="E11" s="14"/>
      <c r="F11" s="13">
        <f>SUM(F8:F10)</f>
        <v>7623992947085</v>
      </c>
      <c r="G11" s="14"/>
      <c r="H11" s="17">
        <f>SUM(H8:H10)</f>
        <v>100</v>
      </c>
      <c r="I11" s="14"/>
      <c r="J11" s="17">
        <f>SUM(J8:J10)</f>
        <v>24.64228233684506</v>
      </c>
      <c r="L11" s="21"/>
    </row>
    <row r="12" spans="1:13" ht="13.5" thickTop="1"/>
    <row r="13" spans="1:13">
      <c r="F13" s="21"/>
      <c r="L13" s="21"/>
    </row>
    <row r="14" spans="1:13">
      <c r="F14" s="21"/>
      <c r="L14" s="21"/>
      <c r="M14" s="21"/>
    </row>
    <row r="15" spans="1:13">
      <c r="F15" s="21"/>
      <c r="L15" s="21"/>
      <c r="M15" s="21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33"/>
  <sheetViews>
    <sheetView rightToLeft="1" view="pageBreakPreview" topLeftCell="A10" zoomScale="90" zoomScaleNormal="100" zoomScaleSheetLayoutView="90" workbookViewId="0">
      <selection activeCell="E37" sqref="E37"/>
    </sheetView>
  </sheetViews>
  <sheetFormatPr defaultRowHeight="12.75"/>
  <cols>
    <col min="1" max="1" width="81.28515625" bestFit="1" customWidth="1"/>
    <col min="2" max="2" width="1.28515625" customWidth="1"/>
    <col min="3" max="3" width="15" style="14" bestFit="1" customWidth="1"/>
    <col min="4" max="4" width="1.28515625" style="14" customWidth="1"/>
    <col min="5" max="5" width="19.28515625" style="14" bestFit="1" customWidth="1"/>
    <col min="6" max="6" width="1.28515625" style="14" customWidth="1"/>
    <col min="7" max="7" width="16.85546875" style="14" bestFit="1" customWidth="1"/>
    <col min="8" max="8" width="1.28515625" style="14" customWidth="1"/>
    <col min="9" max="9" width="19.28515625" style="14" bestFit="1" customWidth="1"/>
    <col min="10" max="10" width="1.28515625" style="14" customWidth="1"/>
    <col min="11" max="11" width="20.5703125" style="14" bestFit="1" customWidth="1"/>
    <col min="12" max="12" width="1.28515625" style="14" customWidth="1"/>
    <col min="13" max="13" width="15" style="14" bestFit="1" customWidth="1"/>
    <col min="14" max="14" width="1.28515625" style="14" customWidth="1"/>
    <col min="15" max="15" width="19.5703125" style="14" bestFit="1" customWidth="1"/>
    <col min="16" max="16" width="1.28515625" style="14" customWidth="1"/>
    <col min="17" max="17" width="18.5703125" style="14" bestFit="1" customWidth="1"/>
    <col min="18" max="18" width="1.28515625" style="14" customWidth="1"/>
    <col min="19" max="19" width="19.7109375" style="14" bestFit="1" customWidth="1"/>
    <col min="20" max="20" width="1.28515625" style="14" customWidth="1"/>
    <col min="21" max="21" width="17.42578125" style="14" bestFit="1" customWidth="1"/>
    <col min="22" max="22" width="0.28515625" customWidth="1"/>
  </cols>
  <sheetData>
    <row r="1" spans="1:21" ht="29.1" customHeight="1">
      <c r="A1" s="85" t="str">
        <f>'گواهی شمش'!A1</f>
        <v>صندوق سرمایه گذاری کالایی درفش دماوند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ht="21.75" customHeight="1">
      <c r="A2" s="85" t="s">
        <v>22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1" ht="21.75" customHeight="1">
      <c r="A3" s="85" t="str">
        <f>'گواهی شمش'!A3</f>
        <v>برای ماه منتهی به 1405/03/31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14.45" customHeight="1"/>
    <row r="5" spans="1:21" ht="14.45" customHeight="1">
      <c r="A5" s="84" t="s">
        <v>103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</row>
    <row r="6" spans="1:21" ht="14.45" customHeight="1">
      <c r="C6" s="86" t="s">
        <v>32</v>
      </c>
      <c r="D6" s="86"/>
      <c r="E6" s="86"/>
      <c r="F6" s="86"/>
      <c r="G6" s="86"/>
      <c r="H6" s="86"/>
      <c r="I6" s="86"/>
      <c r="J6" s="86"/>
      <c r="K6" s="86"/>
      <c r="M6" s="86" t="s">
        <v>33</v>
      </c>
      <c r="N6" s="86"/>
      <c r="O6" s="86"/>
      <c r="P6" s="86"/>
      <c r="Q6" s="86"/>
      <c r="R6" s="86"/>
      <c r="S6" s="86"/>
      <c r="T6" s="86"/>
      <c r="U6" s="86"/>
    </row>
    <row r="7" spans="1:21" ht="14.45" customHeight="1">
      <c r="C7" s="23"/>
      <c r="D7" s="23"/>
      <c r="E7" s="23"/>
      <c r="F7" s="23"/>
      <c r="G7" s="23"/>
      <c r="H7" s="23"/>
      <c r="I7" s="83" t="s">
        <v>16</v>
      </c>
      <c r="J7" s="83"/>
      <c r="K7" s="83"/>
      <c r="M7" s="23"/>
      <c r="N7" s="23"/>
      <c r="O7" s="23"/>
      <c r="P7" s="23"/>
      <c r="Q7" s="23"/>
      <c r="R7" s="23"/>
      <c r="S7" s="83" t="s">
        <v>16</v>
      </c>
      <c r="T7" s="83"/>
      <c r="U7" s="83"/>
    </row>
    <row r="8" spans="1:21" ht="14.45" customHeight="1">
      <c r="A8" s="2"/>
      <c r="C8" s="2" t="s">
        <v>34</v>
      </c>
      <c r="E8" s="2" t="s">
        <v>35</v>
      </c>
      <c r="G8" s="2" t="s">
        <v>36</v>
      </c>
      <c r="I8" s="4" t="s">
        <v>18</v>
      </c>
      <c r="J8" s="23"/>
      <c r="K8" s="4" t="s">
        <v>27</v>
      </c>
      <c r="M8" s="2" t="s">
        <v>34</v>
      </c>
      <c r="O8" s="10" t="s">
        <v>35</v>
      </c>
      <c r="Q8" s="2" t="s">
        <v>36</v>
      </c>
      <c r="S8" s="4" t="s">
        <v>18</v>
      </c>
      <c r="T8" s="23"/>
      <c r="U8" s="4" t="s">
        <v>27</v>
      </c>
    </row>
    <row r="9" spans="1:21" ht="21.75" customHeight="1">
      <c r="A9" s="9" t="s">
        <v>15</v>
      </c>
      <c r="C9" s="66">
        <v>0</v>
      </c>
      <c r="D9" s="58"/>
      <c r="E9" s="57">
        <f>VLOOKUP(A9,'درآمد ناشی از تغییر قیمت اوراق'!A:Q,9,0)</f>
        <v>-5589784177799</v>
      </c>
      <c r="F9" s="58"/>
      <c r="G9" s="57">
        <f>'درآمد ناشی از فروش'!I8</f>
        <v>208976086136</v>
      </c>
      <c r="H9" s="58"/>
      <c r="I9" s="66">
        <f>C9+E9+G9</f>
        <v>-5380808091663</v>
      </c>
      <c r="J9" s="58"/>
      <c r="K9" s="70">
        <f>I9/-5726115632926*100</f>
        <v>93.969602372724864</v>
      </c>
      <c r="L9" s="58"/>
      <c r="M9" s="66">
        <v>0</v>
      </c>
      <c r="N9" s="58"/>
      <c r="O9" s="57">
        <f>IFERROR(VLOOKUP(A9,'درآمد ناشی از تغییر قیمت اوراق'!A:Q,17,0),0)</f>
        <v>5421467987291</v>
      </c>
      <c r="P9" s="58"/>
      <c r="Q9" s="57">
        <f>IFERROR(VLOOKUP(A9,'درآمد ناشی از فروش'!A:Q,17,0),0)</f>
        <v>2465622336434</v>
      </c>
      <c r="R9" s="58"/>
      <c r="S9" s="57">
        <f>M9+O9+Q9</f>
        <v>7887090323725</v>
      </c>
      <c r="T9" s="58"/>
      <c r="U9" s="70">
        <f>S9/درآمد!$F$11*100</f>
        <v>103.45091316933332</v>
      </c>
    </row>
    <row r="10" spans="1:21" ht="21.75" customHeight="1">
      <c r="A10" s="8" t="s">
        <v>37</v>
      </c>
      <c r="C10" s="57">
        <v>0</v>
      </c>
      <c r="D10" s="58"/>
      <c r="E10" s="57">
        <v>0</v>
      </c>
      <c r="F10" s="58"/>
      <c r="G10" s="57">
        <f>'درآمد ناشی از فروش'!I9</f>
        <v>0</v>
      </c>
      <c r="H10" s="58"/>
      <c r="I10" s="57">
        <f>C10+E10+G10</f>
        <v>0</v>
      </c>
      <c r="J10" s="58"/>
      <c r="K10" s="70">
        <f t="shared" ref="K10:K28" si="0">I10/-5726115632926*100</f>
        <v>0</v>
      </c>
      <c r="L10" s="58"/>
      <c r="M10" s="57">
        <v>0</v>
      </c>
      <c r="N10" s="58"/>
      <c r="O10" s="57">
        <f>IFERROR(VLOOKUP(A10,'درآمد ناشی از تغییر قیمت اوراق'!A:Q,17,0),0)</f>
        <v>0</v>
      </c>
      <c r="P10" s="58"/>
      <c r="Q10" s="57">
        <f>IFERROR(VLOOKUP(A10,'درآمد ناشی از فروش'!A:Q,17,0),0)</f>
        <v>42384415013</v>
      </c>
      <c r="R10" s="58"/>
      <c r="S10" s="57">
        <f t="shared" ref="S10:S28" si="1">M10+O10+Q10</f>
        <v>42384415013</v>
      </c>
      <c r="T10" s="58"/>
      <c r="U10" s="70">
        <f>S10/درآمد!$F$11*100</f>
        <v>0.55593460417884433</v>
      </c>
    </row>
    <row r="11" spans="1:21" ht="21.75" customHeight="1">
      <c r="A11" s="8" t="s">
        <v>79</v>
      </c>
      <c r="C11" s="57">
        <v>0</v>
      </c>
      <c r="D11" s="58"/>
      <c r="E11" s="57">
        <v>0</v>
      </c>
      <c r="F11" s="58"/>
      <c r="G11" s="57">
        <f>'درآمد ناشی از فروش'!I10</f>
        <v>0</v>
      </c>
      <c r="H11" s="58"/>
      <c r="I11" s="57">
        <f t="shared" ref="I11:I16" si="2">C11+E11+G11</f>
        <v>0</v>
      </c>
      <c r="J11" s="58"/>
      <c r="K11" s="70">
        <f t="shared" si="0"/>
        <v>0</v>
      </c>
      <c r="L11" s="58"/>
      <c r="M11" s="57">
        <v>0</v>
      </c>
      <c r="N11" s="58"/>
      <c r="O11" s="57">
        <f>IFERROR(VLOOKUP(A11,'درآمد ناشی از تغییر قیمت اوراق'!A:Q,17,0),0)</f>
        <v>0</v>
      </c>
      <c r="P11" s="58"/>
      <c r="Q11" s="57">
        <f>IFERROR(VLOOKUP(A11,'درآمد ناشی از فروش'!A:Q,17,0),0)</f>
        <v>2645732399</v>
      </c>
      <c r="R11" s="58"/>
      <c r="S11" s="57">
        <f t="shared" si="1"/>
        <v>2645732399</v>
      </c>
      <c r="T11" s="58"/>
      <c r="U11" s="70">
        <f>S11/درآمد!$F$11*100</f>
        <v>3.4702713097492885E-2</v>
      </c>
    </row>
    <row r="12" spans="1:21" ht="21.75" customHeight="1">
      <c r="A12" s="8" t="s">
        <v>93</v>
      </c>
      <c r="C12" s="57">
        <v>0</v>
      </c>
      <c r="D12" s="58"/>
      <c r="E12" s="57">
        <f>VLOOKUP(A12,'درآمد ناشی از تغییر قیمت اوراق'!A:Q,9,0)</f>
        <v>-120365819240</v>
      </c>
      <c r="F12" s="58"/>
      <c r="G12" s="57">
        <v>0</v>
      </c>
      <c r="H12" s="58"/>
      <c r="I12" s="57">
        <f t="shared" si="2"/>
        <v>-120365819240</v>
      </c>
      <c r="J12" s="58"/>
      <c r="K12" s="70">
        <f t="shared" si="0"/>
        <v>2.1020500974147116</v>
      </c>
      <c r="L12" s="58"/>
      <c r="M12" s="57">
        <v>0</v>
      </c>
      <c r="N12" s="58"/>
      <c r="O12" s="57">
        <f>IFERROR(VLOOKUP(A12,'درآمد ناشی از تغییر قیمت اوراق'!A:Q,17,0),0)</f>
        <v>-211314187180</v>
      </c>
      <c r="P12" s="58"/>
      <c r="Q12" s="57">
        <f>IFERROR(VLOOKUP(A12,'درآمد ناشی از فروش'!A:Q,17,0),0)</f>
        <v>0</v>
      </c>
      <c r="R12" s="58"/>
      <c r="S12" s="57">
        <f t="shared" si="1"/>
        <v>-211314187180</v>
      </c>
      <c r="T12" s="58"/>
      <c r="U12" s="70">
        <f>S12/درآمد!$F$11*100</f>
        <v>-2.7716996677022774</v>
      </c>
    </row>
    <row r="13" spans="1:21" ht="21.75" customHeight="1">
      <c r="A13" s="8" t="s">
        <v>97</v>
      </c>
      <c r="C13" s="57">
        <v>0</v>
      </c>
      <c r="D13" s="58"/>
      <c r="E13" s="57">
        <f>VLOOKUP(A13,'درآمد ناشی از تغییر قیمت اوراق'!A:Q,9,0)</f>
        <v>-9162691723</v>
      </c>
      <c r="F13" s="58"/>
      <c r="G13" s="57">
        <f>'درآمد ناشی از فروش'!I12</f>
        <v>0</v>
      </c>
      <c r="H13" s="58"/>
      <c r="I13" s="57">
        <f t="shared" si="2"/>
        <v>-9162691723</v>
      </c>
      <c r="J13" s="58"/>
      <c r="K13" s="70">
        <f t="shared" si="0"/>
        <v>0.16001583464911512</v>
      </c>
      <c r="L13" s="58"/>
      <c r="M13" s="57">
        <v>0</v>
      </c>
      <c r="N13" s="58"/>
      <c r="O13" s="57">
        <f>IFERROR(VLOOKUP(A13,'درآمد ناشی از تغییر قیمت اوراق'!A:Q,17,0),0)</f>
        <v>-9162691723</v>
      </c>
      <c r="P13" s="58"/>
      <c r="Q13" s="57">
        <f>IFERROR(VLOOKUP(A13,'درآمد ناشی از فروش'!A:Q,17,0),0)</f>
        <v>0</v>
      </c>
      <c r="R13" s="58"/>
      <c r="S13" s="57">
        <f t="shared" si="1"/>
        <v>-9162691723</v>
      </c>
      <c r="T13" s="58"/>
      <c r="U13" s="70">
        <f>S13/درآمد!$F$11*100</f>
        <v>-0.12018232160751559</v>
      </c>
    </row>
    <row r="14" spans="1:21" ht="21.75" customHeight="1">
      <c r="A14" s="8" t="s">
        <v>94</v>
      </c>
      <c r="C14" s="57">
        <v>0</v>
      </c>
      <c r="D14" s="58"/>
      <c r="E14" s="57">
        <f>VLOOKUP(A14,'درآمد ناشی از تغییر قیمت اوراق'!A:Q,9,0)</f>
        <v>-22761324975</v>
      </c>
      <c r="F14" s="58"/>
      <c r="G14" s="57">
        <f>'درآمد ناشی از فروش'!I13</f>
        <v>0</v>
      </c>
      <c r="H14" s="58"/>
      <c r="I14" s="57">
        <f t="shared" si="2"/>
        <v>-22761324975</v>
      </c>
      <c r="J14" s="58"/>
      <c r="K14" s="70">
        <f t="shared" si="0"/>
        <v>0.3975002677926911</v>
      </c>
      <c r="L14" s="58"/>
      <c r="M14" s="57">
        <v>0</v>
      </c>
      <c r="N14" s="58"/>
      <c r="O14" s="57">
        <f>IFERROR(VLOOKUP(A14,'درآمد ناشی از تغییر قیمت اوراق'!A:Q,17,0),0)</f>
        <v>-10864566488</v>
      </c>
      <c r="P14" s="58"/>
      <c r="Q14" s="57">
        <f>IFERROR(VLOOKUP(A14,'درآمد ناشی از فروش'!A:Q,17,0),0)</f>
        <v>0</v>
      </c>
      <c r="R14" s="58"/>
      <c r="S14" s="57">
        <f t="shared" si="1"/>
        <v>-10864566488</v>
      </c>
      <c r="T14" s="58"/>
      <c r="U14" s="70">
        <f>S14/درآمد!$F$11*100</f>
        <v>-0.14250493886086318</v>
      </c>
    </row>
    <row r="15" spans="1:21" ht="21.75" customHeight="1">
      <c r="A15" s="8" t="s">
        <v>95</v>
      </c>
      <c r="C15" s="57">
        <v>0</v>
      </c>
      <c r="D15" s="58"/>
      <c r="E15" s="57">
        <f>VLOOKUP(A15,'درآمد ناشی از تغییر قیمت اوراق'!A:Q,9,0)</f>
        <v>-81097630644</v>
      </c>
      <c r="F15" s="58"/>
      <c r="G15" s="57">
        <f>'درآمد ناشی از فروش'!I14</f>
        <v>0</v>
      </c>
      <c r="H15" s="58"/>
      <c r="I15" s="57">
        <f t="shared" si="2"/>
        <v>-81097630644</v>
      </c>
      <c r="J15" s="58"/>
      <c r="K15" s="70">
        <f t="shared" si="0"/>
        <v>1.4162765099900672</v>
      </c>
      <c r="L15" s="58"/>
      <c r="M15" s="57">
        <v>0</v>
      </c>
      <c r="N15" s="58"/>
      <c r="O15" s="57">
        <f>IFERROR(VLOOKUP(A15,'درآمد ناشی از تغییر قیمت اوراق'!A:Q,17,0),0)</f>
        <v>-83574089839</v>
      </c>
      <c r="P15" s="58"/>
      <c r="Q15" s="57">
        <f>IFERROR(VLOOKUP(A15,'درآمد ناشی از فروش'!A:Q,17,0),0)</f>
        <v>0</v>
      </c>
      <c r="R15" s="58"/>
      <c r="S15" s="57">
        <f t="shared" si="1"/>
        <v>-83574089839</v>
      </c>
      <c r="T15" s="58"/>
      <c r="U15" s="70">
        <f>S15/درآمد!$F$11*100</f>
        <v>-1.0961984149126762</v>
      </c>
    </row>
    <row r="16" spans="1:21" ht="21.75" customHeight="1">
      <c r="A16" s="8" t="s">
        <v>96</v>
      </c>
      <c r="C16" s="57">
        <v>0</v>
      </c>
      <c r="D16" s="58"/>
      <c r="E16" s="57">
        <f>VLOOKUP(A16,'درآمد ناشی از تغییر قیمت اوراق'!A:Q,9,0)</f>
        <v>-109443135766</v>
      </c>
      <c r="F16" s="58"/>
      <c r="G16" s="57">
        <f>'درآمد ناشی از فروش'!I15</f>
        <v>0</v>
      </c>
      <c r="H16" s="58"/>
      <c r="I16" s="57">
        <f t="shared" si="2"/>
        <v>-109443135766</v>
      </c>
      <c r="J16" s="58"/>
      <c r="K16" s="70">
        <f t="shared" si="0"/>
        <v>1.9112980383540634</v>
      </c>
      <c r="L16" s="58"/>
      <c r="M16" s="57">
        <v>0</v>
      </c>
      <c r="N16" s="58"/>
      <c r="O16" s="57">
        <f>IFERROR(VLOOKUP(A16,'درآمد ناشی از تغییر قیمت اوراق'!A:Q,17,0),0)</f>
        <v>-86672305880</v>
      </c>
      <c r="P16" s="58"/>
      <c r="Q16" s="57">
        <f>IFERROR(VLOOKUP(A16,'درآمد ناشی از فروش'!A:Q,17,0),0)</f>
        <v>0</v>
      </c>
      <c r="R16" s="58"/>
      <c r="S16" s="57">
        <f t="shared" si="1"/>
        <v>-86672305880</v>
      </c>
      <c r="T16" s="58"/>
      <c r="U16" s="70">
        <f>S16/درآمد!$F$11*100</f>
        <v>-1.1368361235583091</v>
      </c>
    </row>
    <row r="17" spans="1:21" ht="21.75" customHeight="1">
      <c r="A17" s="8" t="s">
        <v>10</v>
      </c>
      <c r="C17" s="57">
        <v>0</v>
      </c>
      <c r="D17" s="58"/>
      <c r="E17" s="57">
        <v>0</v>
      </c>
      <c r="F17" s="58"/>
      <c r="G17" s="57">
        <f>IFERROR(VLOOKUP(A17,'درآمد اعمال اختیار'!A:L,10,0),0)</f>
        <v>0</v>
      </c>
      <c r="H17" s="58"/>
      <c r="I17" s="57">
        <f t="shared" ref="I17:I28" si="3">C17+E17+G17</f>
        <v>0</v>
      </c>
      <c r="J17" s="58"/>
      <c r="K17" s="70">
        <f t="shared" si="0"/>
        <v>0</v>
      </c>
      <c r="L17" s="58"/>
      <c r="M17" s="57">
        <v>0</v>
      </c>
      <c r="N17" s="58"/>
      <c r="O17" s="57">
        <f>IFERROR(VLOOKUP(A17,'درآمد ناشی از تغییر قیمت اوراق'!A:Q,17,0),0)</f>
        <v>0</v>
      </c>
      <c r="P17" s="58"/>
      <c r="Q17" s="57">
        <f>IFERROR(VLOOKUP(A17,'درآمد اعمال اختیار'!A:L,12,0),0)</f>
        <v>7851327396</v>
      </c>
      <c r="R17" s="58"/>
      <c r="S17" s="57">
        <f t="shared" si="1"/>
        <v>7851327396</v>
      </c>
      <c r="T17" s="58"/>
      <c r="U17" s="70">
        <f>S17/درآمد!$F$11*100</f>
        <v>0.10298182921328541</v>
      </c>
    </row>
    <row r="18" spans="1:21" ht="21.75" customHeight="1">
      <c r="A18" s="8" t="s">
        <v>11</v>
      </c>
      <c r="C18" s="57">
        <v>0</v>
      </c>
      <c r="D18" s="58"/>
      <c r="E18" s="57">
        <v>0</v>
      </c>
      <c r="F18" s="58"/>
      <c r="G18" s="57">
        <f>IFERROR(VLOOKUP(A18,'درآمد اعمال اختیار'!A:L,10,0),0)</f>
        <v>0</v>
      </c>
      <c r="H18" s="58"/>
      <c r="I18" s="57">
        <f t="shared" si="3"/>
        <v>0</v>
      </c>
      <c r="J18" s="58"/>
      <c r="K18" s="70">
        <f t="shared" si="0"/>
        <v>0</v>
      </c>
      <c r="L18" s="58"/>
      <c r="M18" s="57">
        <v>0</v>
      </c>
      <c r="N18" s="58"/>
      <c r="O18" s="57">
        <f>IFERROR(VLOOKUP(A18,'درآمد ناشی از تغییر قیمت اوراق'!A:Q,17,0),0)</f>
        <v>0</v>
      </c>
      <c r="P18" s="58"/>
      <c r="Q18" s="57">
        <f>IFERROR(VLOOKUP(A18,'درآمد اعمال اختیار'!A:L,12,0),0)</f>
        <v>13506334256</v>
      </c>
      <c r="R18" s="58"/>
      <c r="S18" s="57">
        <f t="shared" si="1"/>
        <v>13506334256</v>
      </c>
      <c r="T18" s="58"/>
      <c r="U18" s="70">
        <f>S18/درآمد!$F$11*100</f>
        <v>0.17715564992966171</v>
      </c>
    </row>
    <row r="19" spans="1:21" ht="21.75" customHeight="1">
      <c r="A19" s="8" t="s">
        <v>12</v>
      </c>
      <c r="C19" s="57">
        <v>0</v>
      </c>
      <c r="D19" s="58"/>
      <c r="E19" s="57">
        <v>0</v>
      </c>
      <c r="F19" s="58"/>
      <c r="G19" s="57">
        <f>IFERROR(VLOOKUP(A19,'درآمد اعمال اختیار'!A:L,10,0),0)</f>
        <v>0</v>
      </c>
      <c r="H19" s="58"/>
      <c r="I19" s="57">
        <f t="shared" si="3"/>
        <v>0</v>
      </c>
      <c r="J19" s="58"/>
      <c r="K19" s="70">
        <f t="shared" si="0"/>
        <v>0</v>
      </c>
      <c r="L19" s="58"/>
      <c r="M19" s="57">
        <v>0</v>
      </c>
      <c r="N19" s="58"/>
      <c r="O19" s="57">
        <f>IFERROR(VLOOKUP(A19,'درآمد ناشی از تغییر قیمت اوراق'!A:Q,17,0),0)</f>
        <v>0</v>
      </c>
      <c r="P19" s="58"/>
      <c r="Q19" s="57">
        <f>IFERROR(VLOOKUP(A19,'درآمد اعمال اختیار'!A:L,12,0),0)</f>
        <v>12192942597</v>
      </c>
      <c r="R19" s="58"/>
      <c r="S19" s="57">
        <f t="shared" si="1"/>
        <v>12192942597</v>
      </c>
      <c r="T19" s="58"/>
      <c r="U19" s="70">
        <f>S19/درآمد!$F$11*100</f>
        <v>0.15992856606277314</v>
      </c>
    </row>
    <row r="20" spans="1:21" ht="21.75" customHeight="1">
      <c r="A20" s="8" t="s">
        <v>13</v>
      </c>
      <c r="C20" s="57">
        <v>0</v>
      </c>
      <c r="D20" s="58"/>
      <c r="E20" s="57">
        <v>0</v>
      </c>
      <c r="F20" s="58"/>
      <c r="G20" s="57">
        <f>IFERROR(VLOOKUP(A20,'درآمد اعمال اختیار'!A:L,10,0),0)</f>
        <v>0</v>
      </c>
      <c r="H20" s="58"/>
      <c r="I20" s="57">
        <f t="shared" si="3"/>
        <v>0</v>
      </c>
      <c r="J20" s="58"/>
      <c r="K20" s="70">
        <f t="shared" si="0"/>
        <v>0</v>
      </c>
      <c r="L20" s="58"/>
      <c r="M20" s="57">
        <v>0</v>
      </c>
      <c r="N20" s="58"/>
      <c r="O20" s="57">
        <f>IFERROR(VLOOKUP(A20,'درآمد ناشی از تغییر قیمت اوراق'!A:Q,17,0),0)</f>
        <v>0</v>
      </c>
      <c r="P20" s="58"/>
      <c r="Q20" s="57">
        <f>IFERROR(VLOOKUP(A20,'درآمد اعمال اختیار'!A:L,12,0),0)</f>
        <v>21986883549</v>
      </c>
      <c r="R20" s="58"/>
      <c r="S20" s="57">
        <f t="shared" si="1"/>
        <v>21986883549</v>
      </c>
      <c r="T20" s="58"/>
      <c r="U20" s="70">
        <f>S20/درآمد!$F$11*100</f>
        <v>0.28839065961369481</v>
      </c>
    </row>
    <row r="21" spans="1:21" ht="21.75" customHeight="1">
      <c r="A21" s="8" t="s">
        <v>14</v>
      </c>
      <c r="C21" s="57">
        <v>0</v>
      </c>
      <c r="D21" s="58"/>
      <c r="E21" s="57">
        <v>0</v>
      </c>
      <c r="F21" s="58"/>
      <c r="G21" s="57">
        <f>IFERROR(VLOOKUP(A21,'درآمد اعمال اختیار'!A:L,10,0),0)</f>
        <v>0</v>
      </c>
      <c r="H21" s="58"/>
      <c r="I21" s="57">
        <f t="shared" si="3"/>
        <v>0</v>
      </c>
      <c r="J21" s="58"/>
      <c r="K21" s="70">
        <f t="shared" si="0"/>
        <v>0</v>
      </c>
      <c r="L21" s="58"/>
      <c r="M21" s="57">
        <v>0</v>
      </c>
      <c r="N21" s="58"/>
      <c r="O21" s="57">
        <f>IFERROR(VLOOKUP(A21,'درآمد ناشی از تغییر قیمت اوراق'!A:Q,17,0),0)</f>
        <v>0</v>
      </c>
      <c r="P21" s="58"/>
      <c r="Q21" s="57">
        <f>IFERROR(VLOOKUP(A21,'درآمد اعمال اختیار'!A:L,12,0),0)</f>
        <v>7953236119</v>
      </c>
      <c r="R21" s="58"/>
      <c r="S21" s="57">
        <f t="shared" si="1"/>
        <v>7953236119</v>
      </c>
      <c r="T21" s="58"/>
      <c r="U21" s="70">
        <f>S21/درآمد!$F$11*100</f>
        <v>0.10431851359517437</v>
      </c>
    </row>
    <row r="22" spans="1:21" ht="21.75" customHeight="1">
      <c r="A22" s="8" t="s">
        <v>59</v>
      </c>
      <c r="C22" s="57">
        <v>0</v>
      </c>
      <c r="D22" s="58"/>
      <c r="E22" s="57">
        <v>0</v>
      </c>
      <c r="F22" s="58"/>
      <c r="G22" s="57">
        <f>IFERROR(VLOOKUP(A22,'درآمد اعمال اختیار'!A:L,10,0),0)</f>
        <v>0</v>
      </c>
      <c r="H22" s="58"/>
      <c r="I22" s="57">
        <f t="shared" si="3"/>
        <v>0</v>
      </c>
      <c r="J22" s="58"/>
      <c r="K22" s="70">
        <f t="shared" si="0"/>
        <v>0</v>
      </c>
      <c r="L22" s="58"/>
      <c r="M22" s="57">
        <v>0</v>
      </c>
      <c r="N22" s="58"/>
      <c r="O22" s="57">
        <f>IFERROR(VLOOKUP(A22,'درآمد ناشی از تغییر قیمت اوراق'!A:Q,17,0),0)</f>
        <v>0</v>
      </c>
      <c r="P22" s="58"/>
      <c r="Q22" s="57">
        <f>IFERROR(VLOOKUP(A22,'درآمد اعمال اختیار'!A:L,12,0),0)</f>
        <v>2323243497</v>
      </c>
      <c r="R22" s="58"/>
      <c r="S22" s="57">
        <f t="shared" si="1"/>
        <v>2323243497</v>
      </c>
      <c r="T22" s="58"/>
      <c r="U22" s="70">
        <f>S22/درآمد!$F$11*100</f>
        <v>3.0472791791974072E-2</v>
      </c>
    </row>
    <row r="23" spans="1:21" ht="21.75" customHeight="1">
      <c r="A23" s="8" t="s">
        <v>60</v>
      </c>
      <c r="C23" s="57">
        <v>0</v>
      </c>
      <c r="D23" s="58"/>
      <c r="E23" s="57">
        <v>0</v>
      </c>
      <c r="F23" s="58"/>
      <c r="G23" s="57">
        <f>IFERROR(VLOOKUP(A23,'درآمد اعمال اختیار'!A:L,10,0),0)</f>
        <v>0</v>
      </c>
      <c r="H23" s="58"/>
      <c r="I23" s="57">
        <f t="shared" si="3"/>
        <v>0</v>
      </c>
      <c r="J23" s="58"/>
      <c r="K23" s="70">
        <f t="shared" si="0"/>
        <v>0</v>
      </c>
      <c r="L23" s="58"/>
      <c r="M23" s="57">
        <v>0</v>
      </c>
      <c r="N23" s="58"/>
      <c r="O23" s="57">
        <f>IFERROR(VLOOKUP(A23,'درآمد ناشی از تغییر قیمت اوراق'!A:Q,17,0),0)</f>
        <v>0</v>
      </c>
      <c r="P23" s="58"/>
      <c r="Q23" s="57">
        <f>IFERROR(VLOOKUP(A23,'درآمد اعمال اختیار'!A:L,12,0),0)</f>
        <v>950536282</v>
      </c>
      <c r="R23" s="58"/>
      <c r="S23" s="57">
        <f t="shared" si="1"/>
        <v>950536282</v>
      </c>
      <c r="T23" s="58"/>
      <c r="U23" s="70">
        <f>S23/درآمد!$F$11*100</f>
        <v>1.2467696239979254E-2</v>
      </c>
    </row>
    <row r="24" spans="1:21" ht="21.75" customHeight="1">
      <c r="A24" s="8" t="s">
        <v>61</v>
      </c>
      <c r="C24" s="57">
        <v>0</v>
      </c>
      <c r="D24" s="58"/>
      <c r="E24" s="57">
        <v>0</v>
      </c>
      <c r="F24" s="58"/>
      <c r="G24" s="57">
        <f>IFERROR(VLOOKUP(A24,'درآمد اعمال اختیار'!A:L,10,0),0)</f>
        <v>0</v>
      </c>
      <c r="H24" s="58"/>
      <c r="I24" s="57">
        <f t="shared" si="3"/>
        <v>0</v>
      </c>
      <c r="J24" s="58"/>
      <c r="K24" s="70">
        <f t="shared" si="0"/>
        <v>0</v>
      </c>
      <c r="L24" s="58"/>
      <c r="M24" s="57">
        <v>0</v>
      </c>
      <c r="N24" s="58"/>
      <c r="O24" s="57">
        <f>IFERROR(VLOOKUP(A24,'درآمد ناشی از تغییر قیمت اوراق'!A:Q,17,0),0)</f>
        <v>0</v>
      </c>
      <c r="P24" s="58"/>
      <c r="Q24" s="57">
        <f>IFERROR(VLOOKUP(A24,'درآمد اعمال اختیار'!A:L,12,0),0)</f>
        <v>11623371119</v>
      </c>
      <c r="R24" s="58"/>
      <c r="S24" s="57">
        <f t="shared" si="1"/>
        <v>11623371119</v>
      </c>
      <c r="T24" s="58"/>
      <c r="U24" s="70">
        <f>S24/درآمد!$F$11*100</f>
        <v>0.15245778950312572</v>
      </c>
    </row>
    <row r="25" spans="1:21" ht="21.75" customHeight="1">
      <c r="A25" s="8" t="s">
        <v>62</v>
      </c>
      <c r="C25" s="57">
        <v>0</v>
      </c>
      <c r="D25" s="58"/>
      <c r="E25" s="57">
        <v>0</v>
      </c>
      <c r="F25" s="58"/>
      <c r="G25" s="57">
        <f>IFERROR(VLOOKUP(A25,'درآمد اعمال اختیار'!A:L,10,0),0)</f>
        <v>0</v>
      </c>
      <c r="H25" s="58"/>
      <c r="I25" s="57">
        <f t="shared" si="3"/>
        <v>0</v>
      </c>
      <c r="J25" s="58"/>
      <c r="K25" s="70">
        <f t="shared" si="0"/>
        <v>0</v>
      </c>
      <c r="L25" s="58"/>
      <c r="M25" s="57">
        <v>0</v>
      </c>
      <c r="N25" s="58"/>
      <c r="O25" s="57">
        <f>IFERROR(VLOOKUP(A25,'درآمد ناشی از تغییر قیمت اوراق'!A:Q,17,0),0)</f>
        <v>0</v>
      </c>
      <c r="P25" s="58"/>
      <c r="Q25" s="57">
        <f>IFERROR(VLOOKUP(A25,'درآمد اعمال اختیار'!A:L,12,0),0)</f>
        <v>9403317173</v>
      </c>
      <c r="R25" s="58"/>
      <c r="S25" s="57">
        <f t="shared" si="1"/>
        <v>9403317173</v>
      </c>
      <c r="T25" s="58"/>
      <c r="U25" s="70">
        <f>S25/درآمد!$F$11*100</f>
        <v>0.12333848205611624</v>
      </c>
    </row>
    <row r="26" spans="1:21" ht="21.75" customHeight="1">
      <c r="A26" s="8" t="s">
        <v>63</v>
      </c>
      <c r="C26" s="57">
        <v>0</v>
      </c>
      <c r="D26" s="58"/>
      <c r="E26" s="57">
        <v>0</v>
      </c>
      <c r="F26" s="58"/>
      <c r="G26" s="57">
        <f>IFERROR(VLOOKUP(A26,'درآمد اعمال اختیار'!A:L,10,0),0)</f>
        <v>0</v>
      </c>
      <c r="H26" s="58"/>
      <c r="I26" s="57">
        <f t="shared" si="3"/>
        <v>0</v>
      </c>
      <c r="J26" s="58"/>
      <c r="K26" s="70">
        <f t="shared" si="0"/>
        <v>0</v>
      </c>
      <c r="L26" s="58"/>
      <c r="M26" s="57">
        <v>0</v>
      </c>
      <c r="N26" s="58"/>
      <c r="O26" s="57">
        <f>IFERROR(VLOOKUP(A26,'درآمد ناشی از تغییر قیمت اوراق'!A:Q,17,0),0)</f>
        <v>0</v>
      </c>
      <c r="P26" s="58"/>
      <c r="Q26" s="57">
        <f>IFERROR(VLOOKUP(A26,'درآمد اعمال اختیار'!A:L,12,0),0)</f>
        <v>3737822385</v>
      </c>
      <c r="R26" s="58"/>
      <c r="S26" s="57">
        <f t="shared" si="1"/>
        <v>3737822385</v>
      </c>
      <c r="T26" s="58"/>
      <c r="U26" s="70">
        <f>S26/درآمد!$F$11*100</f>
        <v>4.9027096574494333E-2</v>
      </c>
    </row>
    <row r="27" spans="1:21" ht="21.75" customHeight="1">
      <c r="A27" s="8" t="s">
        <v>64</v>
      </c>
      <c r="C27" s="57">
        <v>0</v>
      </c>
      <c r="D27" s="58"/>
      <c r="E27" s="57">
        <v>0</v>
      </c>
      <c r="F27" s="58"/>
      <c r="G27" s="57">
        <f>IFERROR(VLOOKUP(A27,'درآمد اعمال اختیار'!A:L,10,0),0)</f>
        <v>0</v>
      </c>
      <c r="H27" s="58"/>
      <c r="I27" s="57">
        <f t="shared" si="3"/>
        <v>0</v>
      </c>
      <c r="J27" s="58"/>
      <c r="K27" s="70">
        <f t="shared" si="0"/>
        <v>0</v>
      </c>
      <c r="L27" s="58"/>
      <c r="M27" s="57">
        <v>0</v>
      </c>
      <c r="N27" s="58"/>
      <c r="O27" s="57">
        <f>IFERROR(VLOOKUP(A27,'درآمد ناشی از تغییر قیمت اوراق'!A:Q,17,0),0)</f>
        <v>0</v>
      </c>
      <c r="P27" s="58"/>
      <c r="Q27" s="57">
        <f>IFERROR(VLOOKUP(A27,'درآمد اعمال اختیار'!A:L,12,0),0)</f>
        <v>993815288</v>
      </c>
      <c r="R27" s="58"/>
      <c r="S27" s="57">
        <f t="shared" si="1"/>
        <v>993815288</v>
      </c>
      <c r="T27" s="58"/>
      <c r="U27" s="70">
        <f>S27/درآمد!$F$11*100</f>
        <v>1.3035364734695628E-2</v>
      </c>
    </row>
    <row r="28" spans="1:21" ht="21.75" customHeight="1">
      <c r="A28" s="8" t="s">
        <v>65</v>
      </c>
      <c r="C28" s="57">
        <v>0</v>
      </c>
      <c r="D28" s="58"/>
      <c r="E28" s="57">
        <v>0</v>
      </c>
      <c r="F28" s="58"/>
      <c r="G28" s="57">
        <f>IFERROR(VLOOKUP(A28,'درآمد اعمال اختیار'!A:L,10,0),0)</f>
        <v>0</v>
      </c>
      <c r="H28" s="58"/>
      <c r="I28" s="57">
        <f t="shared" si="3"/>
        <v>0</v>
      </c>
      <c r="J28" s="58"/>
      <c r="K28" s="70">
        <f t="shared" si="0"/>
        <v>0</v>
      </c>
      <c r="L28" s="58"/>
      <c r="M28" s="57"/>
      <c r="N28" s="58"/>
      <c r="O28" s="57">
        <f>IFERROR(VLOOKUP(A28,'درآمد ناشی از تغییر قیمت اوراق'!A:Q,17,0),0)</f>
        <v>0</v>
      </c>
      <c r="P28" s="58"/>
      <c r="Q28" s="57">
        <f>IFERROR(VLOOKUP(A28,'درآمد اعمال اختیار'!A:L,12,0),0)</f>
        <v>824652506</v>
      </c>
      <c r="R28" s="58"/>
      <c r="S28" s="57">
        <f t="shared" si="1"/>
        <v>824652506</v>
      </c>
      <c r="T28" s="58"/>
      <c r="U28" s="70">
        <f>S28/درآمد!$F$11*100</f>
        <v>1.0816543400860598E-2</v>
      </c>
    </row>
    <row r="29" spans="1:21" ht="19.5" thickBot="1">
      <c r="C29" s="67">
        <f>SUM(C9:C28)</f>
        <v>0</v>
      </c>
      <c r="D29" s="57"/>
      <c r="E29" s="67">
        <f>SUM(E9:E28)</f>
        <v>-5932614780147</v>
      </c>
      <c r="F29" s="57"/>
      <c r="G29" s="67">
        <f>SUM(G9:G28)</f>
        <v>208976086136</v>
      </c>
      <c r="H29" s="57"/>
      <c r="I29" s="67">
        <f>SUM(I9:I28)</f>
        <v>-5723638694011</v>
      </c>
      <c r="J29" s="57"/>
      <c r="K29" s="71">
        <f>SUM(K9:K28)</f>
        <v>99.956743120925523</v>
      </c>
      <c r="L29" s="57"/>
      <c r="M29" s="67">
        <f>SUM(M9:M28)</f>
        <v>0</v>
      </c>
      <c r="N29" s="57"/>
      <c r="O29" s="67">
        <f>SUM(O9:O28)</f>
        <v>5019880146181</v>
      </c>
      <c r="P29" s="57"/>
      <c r="Q29" s="67">
        <f>SUM(Q9:Q28)</f>
        <v>2603999966013</v>
      </c>
      <c r="R29" s="57"/>
      <c r="S29" s="67">
        <f>SUM(S9:S28)</f>
        <v>7623880112194</v>
      </c>
      <c r="T29" s="57"/>
      <c r="U29" s="71">
        <f>SUM(U9:U28)</f>
        <v>99.998520002683847</v>
      </c>
    </row>
    <row r="30" spans="1:21" ht="13.5" thickTop="1"/>
    <row r="31" spans="1:21">
      <c r="E31" s="42"/>
      <c r="G31" s="72"/>
      <c r="I31" s="42"/>
      <c r="O31" s="42"/>
      <c r="Q31" s="42"/>
      <c r="S31" s="42"/>
    </row>
    <row r="32" spans="1:21">
      <c r="E32" s="42"/>
      <c r="G32" s="42"/>
      <c r="O32" s="42"/>
      <c r="Q32" s="42"/>
    </row>
    <row r="33" spans="5:17">
      <c r="E33" s="42"/>
      <c r="O33" s="56"/>
      <c r="Q33" s="42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pageMargins left="0.39" right="0.39" top="0.39" bottom="0.39" header="0" footer="0"/>
  <pageSetup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2"/>
  <sheetViews>
    <sheetView rightToLeft="1" view="pageBreakPreview" zoomScale="150" zoomScaleNormal="100" zoomScaleSheetLayoutView="150" workbookViewId="0">
      <selection activeCell="G16" sqref="G16"/>
    </sheetView>
  </sheetViews>
  <sheetFormatPr defaultRowHeight="12.75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85" t="str">
        <f>'گواهی شمش'!A1</f>
        <v>صندوق سرمایه گذاری کالایی درفش دماوند</v>
      </c>
      <c r="B1" s="85"/>
      <c r="C1" s="85"/>
      <c r="D1" s="85"/>
      <c r="E1" s="85"/>
      <c r="F1" s="85"/>
      <c r="G1" s="85"/>
      <c r="H1" s="85"/>
      <c r="I1" s="85"/>
    </row>
    <row r="2" spans="1:9" ht="21.75" customHeight="1">
      <c r="A2" s="85" t="s">
        <v>22</v>
      </c>
      <c r="B2" s="85"/>
      <c r="C2" s="85"/>
      <c r="D2" s="85"/>
      <c r="E2" s="85"/>
      <c r="F2" s="85"/>
      <c r="G2" s="85"/>
      <c r="H2" s="85"/>
      <c r="I2" s="85"/>
    </row>
    <row r="3" spans="1:9" ht="21.75" customHeight="1">
      <c r="A3" s="85" t="str">
        <f>'گواهی شمش'!A3</f>
        <v>برای ماه منتهی به 1405/03/31</v>
      </c>
      <c r="B3" s="85"/>
      <c r="C3" s="85"/>
      <c r="D3" s="85"/>
      <c r="E3" s="85"/>
      <c r="F3" s="85"/>
      <c r="G3" s="85"/>
      <c r="H3" s="85"/>
      <c r="I3" s="85"/>
    </row>
    <row r="4" spans="1:9" ht="14.45" customHeight="1"/>
    <row r="5" spans="1:9" ht="14.45" customHeight="1">
      <c r="A5" s="84" t="s">
        <v>58</v>
      </c>
      <c r="B5" s="84"/>
      <c r="C5" s="84"/>
      <c r="D5" s="84"/>
      <c r="E5" s="84"/>
      <c r="F5" s="84"/>
      <c r="G5" s="84"/>
      <c r="H5" s="84"/>
      <c r="I5" s="84"/>
    </row>
    <row r="6" spans="1:9" ht="14.45" customHeight="1">
      <c r="C6" s="86" t="s">
        <v>32</v>
      </c>
      <c r="D6" s="86"/>
      <c r="E6" s="86"/>
      <c r="G6" s="86" t="s">
        <v>33</v>
      </c>
      <c r="H6" s="86"/>
      <c r="I6" s="86"/>
    </row>
    <row r="7" spans="1:9" ht="36.4" customHeight="1">
      <c r="A7" s="22" t="s">
        <v>38</v>
      </c>
      <c r="C7" s="7" t="s">
        <v>39</v>
      </c>
      <c r="D7" s="3"/>
      <c r="E7" s="7" t="s">
        <v>40</v>
      </c>
      <c r="G7" s="7" t="s">
        <v>39</v>
      </c>
      <c r="H7" s="3"/>
      <c r="I7" s="7" t="s">
        <v>40</v>
      </c>
    </row>
    <row r="8" spans="1:9" ht="21.75" customHeight="1">
      <c r="A8" s="9" t="s">
        <v>21</v>
      </c>
      <c r="C8" s="11">
        <f>'سود سپرده بانکی'!C8</f>
        <v>1171036</v>
      </c>
      <c r="D8" s="14"/>
      <c r="E8" s="16">
        <f>C8/$C$10*100</f>
        <v>100</v>
      </c>
      <c r="F8" s="14"/>
      <c r="G8" s="11">
        <f>'سود سپرده بانکی'!I8</f>
        <v>44237027</v>
      </c>
      <c r="H8" s="14"/>
      <c r="I8" s="16">
        <f>G8/$G$10*100</f>
        <v>39.205095700407064</v>
      </c>
    </row>
    <row r="9" spans="1:9" ht="21.75" customHeight="1">
      <c r="A9" s="8" t="s">
        <v>77</v>
      </c>
      <c r="C9" s="12">
        <f>'سود سپرده بانکی'!C9</f>
        <v>0</v>
      </c>
      <c r="D9" s="14"/>
      <c r="E9" s="16">
        <f>C9/$C$10*100</f>
        <v>0</v>
      </c>
      <c r="F9" s="14"/>
      <c r="G9" s="12">
        <f>'سود سپرده بانکی'!I9</f>
        <v>68597864</v>
      </c>
      <c r="H9" s="14"/>
      <c r="I9" s="16">
        <f>G9/$G$10*100</f>
        <v>60.794904299592936</v>
      </c>
    </row>
    <row r="10" spans="1:9" ht="21.75" customHeight="1" thickBot="1">
      <c r="A10" s="18"/>
      <c r="C10" s="13">
        <f>SUM(C8:C9)</f>
        <v>1171036</v>
      </c>
      <c r="D10" s="14"/>
      <c r="E10" s="13">
        <f>SUM(E8:E9)</f>
        <v>100</v>
      </c>
      <c r="F10" s="14"/>
      <c r="G10" s="13">
        <f>SUM(G8:G9)</f>
        <v>112834891</v>
      </c>
      <c r="H10" s="14"/>
      <c r="I10" s="13">
        <f>SUM(I8:I9)</f>
        <v>100</v>
      </c>
    </row>
    <row r="11" spans="1:9" ht="13.5" thickTop="1">
      <c r="C11" s="21"/>
      <c r="G11" s="21"/>
    </row>
    <row r="12" spans="1:9">
      <c r="C12" s="21"/>
      <c r="G12" s="21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tabColor rgb="FF92D050"/>
    <pageSetUpPr fitToPage="1"/>
  </sheetPr>
  <dimension ref="A1:F13"/>
  <sheetViews>
    <sheetView rightToLeft="1" view="pageBreakPreview" zoomScale="98" zoomScaleNormal="100" zoomScaleSheetLayoutView="98" workbookViewId="0">
      <selection activeCell="J31" sqref="J31"/>
    </sheetView>
  </sheetViews>
  <sheetFormatPr defaultRowHeight="12.75"/>
  <cols>
    <col min="1" max="1" width="5.140625" style="24" customWidth="1"/>
    <col min="2" max="2" width="41.5703125" style="24" customWidth="1"/>
    <col min="3" max="3" width="1.28515625" style="24" customWidth="1"/>
    <col min="4" max="4" width="19.42578125" style="24" customWidth="1"/>
    <col min="5" max="5" width="1.28515625" style="24" customWidth="1"/>
    <col min="6" max="6" width="19.42578125" style="24" customWidth="1"/>
    <col min="7" max="7" width="0.28515625" style="24" customWidth="1"/>
    <col min="8" max="16384" width="9.140625" style="24"/>
  </cols>
  <sheetData>
    <row r="1" spans="1:6" ht="25.5">
      <c r="A1" s="87" t="str">
        <f>'گواهی شمش'!A1</f>
        <v>صندوق سرمایه گذاری کالایی درفش دماوند</v>
      </c>
      <c r="B1" s="87"/>
      <c r="C1" s="87"/>
      <c r="D1" s="87"/>
      <c r="E1" s="87"/>
      <c r="F1" s="87"/>
    </row>
    <row r="2" spans="1:6" ht="25.5">
      <c r="A2" s="87" t="s">
        <v>22</v>
      </c>
      <c r="B2" s="87"/>
      <c r="C2" s="87"/>
      <c r="D2" s="87"/>
      <c r="E2" s="87"/>
      <c r="F2" s="87"/>
    </row>
    <row r="3" spans="1:6" ht="25.5">
      <c r="A3" s="87" t="str">
        <f>'گواهی شمش'!A3</f>
        <v>برای ماه منتهی به 1405/03/31</v>
      </c>
      <c r="B3" s="87"/>
      <c r="C3" s="87"/>
      <c r="D3" s="87"/>
      <c r="E3" s="87"/>
      <c r="F3" s="87"/>
    </row>
    <row r="4" spans="1:6" ht="14.45" customHeight="1"/>
    <row r="5" spans="1:6" ht="29.1" customHeight="1">
      <c r="A5" s="32" t="s">
        <v>69</v>
      </c>
      <c r="B5" s="101" t="s">
        <v>68</v>
      </c>
      <c r="C5" s="101"/>
      <c r="D5" s="101"/>
      <c r="E5" s="101"/>
      <c r="F5" s="101"/>
    </row>
    <row r="6" spans="1:6" ht="21">
      <c r="D6" s="27" t="s">
        <v>32</v>
      </c>
      <c r="F6" s="27" t="s">
        <v>91</v>
      </c>
    </row>
    <row r="7" spans="1:6" ht="21">
      <c r="A7" s="102" t="s">
        <v>68</v>
      </c>
      <c r="B7" s="102"/>
      <c r="D7" s="31" t="s">
        <v>18</v>
      </c>
      <c r="F7" s="31" t="s">
        <v>18</v>
      </c>
    </row>
    <row r="8" spans="1:6" ht="31.5" customHeight="1">
      <c r="A8" s="99" t="s">
        <v>67</v>
      </c>
      <c r="B8" s="99"/>
      <c r="D8" s="79">
        <v>-2478109951</v>
      </c>
      <c r="E8" s="34"/>
      <c r="F8" s="33">
        <v>0</v>
      </c>
    </row>
    <row r="9" spans="1:6" ht="31.5" customHeight="1" thickBot="1">
      <c r="A9" s="100"/>
      <c r="B9" s="100"/>
      <c r="D9" s="80">
        <f>SUM(D8)</f>
        <v>-2478109951</v>
      </c>
      <c r="E9" s="34"/>
      <c r="F9" s="35">
        <f>SUM(F8)</f>
        <v>0</v>
      </c>
    </row>
    <row r="10" spans="1:6" ht="13.5" thickTop="1">
      <c r="D10" s="73"/>
      <c r="F10" s="73"/>
    </row>
    <row r="11" spans="1:6">
      <c r="D11" s="73"/>
      <c r="F11" s="73"/>
    </row>
    <row r="12" spans="1:6">
      <c r="D12" s="73"/>
    </row>
    <row r="13" spans="1:6">
      <c r="D13" s="73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view="pageBreakPreview" zoomScale="118" zoomScaleNormal="100" zoomScaleSheetLayoutView="118" workbookViewId="0">
      <selection activeCell="M31" sqref="M3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5" t="str">
        <f>'گواهی شمش'!A1</f>
        <v>صندوق سرمایه گذاری کالایی درفش دماوند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1.75" customHeight="1">
      <c r="A2" s="85" t="s">
        <v>22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1.75" customHeight="1">
      <c r="A3" s="85" t="str">
        <f>'گواهی شمش'!A3</f>
        <v>برای ماه منتهی به 1405/03/31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14.45" customHeight="1"/>
    <row r="5" spans="1:13" ht="14.45" customHeight="1">
      <c r="A5" s="89" t="s">
        <v>44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>
      <c r="A6" s="86" t="s">
        <v>25</v>
      </c>
      <c r="C6" s="86" t="s">
        <v>32</v>
      </c>
      <c r="D6" s="86"/>
      <c r="E6" s="86"/>
      <c r="F6" s="86"/>
      <c r="G6" s="86"/>
      <c r="I6" s="86" t="s">
        <v>33</v>
      </c>
      <c r="J6" s="86"/>
      <c r="K6" s="86"/>
      <c r="L6" s="86"/>
      <c r="M6" s="86"/>
    </row>
    <row r="7" spans="1:13" ht="29.1" customHeight="1">
      <c r="A7" s="86"/>
      <c r="C7" s="7" t="s">
        <v>42</v>
      </c>
      <c r="D7" s="3"/>
      <c r="E7" s="7" t="s">
        <v>41</v>
      </c>
      <c r="F7" s="3"/>
      <c r="G7" s="7" t="s">
        <v>43</v>
      </c>
      <c r="I7" s="7" t="s">
        <v>42</v>
      </c>
      <c r="J7" s="3"/>
      <c r="K7" s="7" t="s">
        <v>41</v>
      </c>
      <c r="L7" s="3"/>
      <c r="M7" s="43" t="s">
        <v>43</v>
      </c>
    </row>
    <row r="8" spans="1:13" ht="21.75" customHeight="1">
      <c r="A8" s="5" t="s">
        <v>21</v>
      </c>
      <c r="C8" s="47">
        <v>1171036</v>
      </c>
      <c r="D8" s="48"/>
      <c r="E8" s="47">
        <v>0</v>
      </c>
      <c r="F8" s="48"/>
      <c r="G8" s="47">
        <f>C8-E8</f>
        <v>1171036</v>
      </c>
      <c r="H8" s="48"/>
      <c r="I8" s="47">
        <v>44237027</v>
      </c>
      <c r="J8" s="48"/>
      <c r="K8" s="47">
        <v>0</v>
      </c>
      <c r="L8" s="48"/>
      <c r="M8" s="49">
        <f>I8-K8</f>
        <v>44237027</v>
      </c>
    </row>
    <row r="9" spans="1:13" ht="21.75" customHeight="1">
      <c r="A9" s="6" t="s">
        <v>77</v>
      </c>
      <c r="C9" s="49">
        <v>0</v>
      </c>
      <c r="D9" s="48"/>
      <c r="E9" s="49">
        <v>0</v>
      </c>
      <c r="F9" s="48"/>
      <c r="G9" s="50">
        <f>C9-E9</f>
        <v>0</v>
      </c>
      <c r="H9" s="48"/>
      <c r="I9" s="49">
        <v>68597864</v>
      </c>
      <c r="J9" s="48"/>
      <c r="K9" s="49">
        <v>0</v>
      </c>
      <c r="L9" s="48"/>
      <c r="M9" s="49">
        <f>I9-K9</f>
        <v>68597864</v>
      </c>
    </row>
    <row r="10" spans="1:13" ht="21.75" customHeight="1">
      <c r="A10" s="18"/>
      <c r="C10" s="51">
        <f>SUM(C8:C9)</f>
        <v>1171036</v>
      </c>
      <c r="D10" s="48"/>
      <c r="E10" s="51">
        <v>0</v>
      </c>
      <c r="F10" s="48"/>
      <c r="G10" s="52">
        <f>SUM(G8:G9)</f>
        <v>1171036</v>
      </c>
      <c r="H10" s="48"/>
      <c r="I10" s="51">
        <f>SUM(I8:I9)</f>
        <v>112834891</v>
      </c>
      <c r="J10" s="48"/>
      <c r="K10" s="51">
        <v>0</v>
      </c>
      <c r="L10" s="48"/>
      <c r="M10" s="51">
        <f>SUM(M8:M9)</f>
        <v>112834891</v>
      </c>
    </row>
    <row r="11" spans="1:13">
      <c r="C11" s="21"/>
      <c r="G11" s="21"/>
      <c r="I11" s="21"/>
      <c r="M11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گواهی شمش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'گواهی شمش'!Print_Area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2026-06-29T10:58:57Z</dcterms:modified>
</cp:coreProperties>
</file>