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5\02\"/>
    </mc:Choice>
  </mc:AlternateContent>
  <xr:revisionPtr revIDLastSave="0" documentId="13_ncr:1_{92BFA510-FFFD-446A-893F-4E8962A07034}" xr6:coauthVersionLast="47" xr6:coauthVersionMax="47" xr10:uidLastSave="{00000000-0000-0000-0000-000000000000}"/>
  <bookViews>
    <workbookView xWindow="-120" yWindow="-120" windowWidth="29040" windowHeight="15840" tabRatio="952" activeTab="11" xr2:uid="{00000000-000D-0000-FFFF-FFFF00000000}"/>
  </bookViews>
  <sheets>
    <sheet name="0" sheetId="25" r:id="rId1"/>
    <sheet name="گواهی شمش" sheetId="2" r:id="rId2"/>
    <sheet name="اوراق مشتقه" sheetId="2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24" r:id="rId8"/>
    <sheet name="سود سپرده بانکی" sheetId="18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مشتقه'!$A$1:$AV$11</definedName>
    <definedName name="_xlnm.Print_Area" localSheetId="4">درآمد!$A$1:$K$11</definedName>
    <definedName name="_xlnm.Print_Area" localSheetId="10">'درآمد اعمال اختیار'!$A$1:$L$22</definedName>
    <definedName name="_xlnm.Print_Area" localSheetId="6">'درآمد سپرده بانکی'!$A$1:$J$10</definedName>
    <definedName name="_xlnm.Print_Area" localSheetId="5">'درآمد سرمایه گذاری در سهام'!$A$1:$V$29</definedName>
    <definedName name="_xlnm.Print_Area" localSheetId="11">'درآمد ناشی از تغییر قیمت اوراق'!$A$1:$Q$13</definedName>
    <definedName name="_xlnm.Print_Area" localSheetId="9">'درآمد ناشی از فروش'!$A$1:$Q$11</definedName>
    <definedName name="_xlnm.Print_Area" localSheetId="7">'سایر درآمدها'!$A$1:$G$9</definedName>
    <definedName name="_xlnm.Print_Area" localSheetId="3">سپرده!$A$1:$K$11</definedName>
    <definedName name="_xlnm.Print_Area" localSheetId="8">'سود سپرده بانکی'!$A$1:$N$10</definedName>
    <definedName name="_xlnm.Print_Area" localSheetId="1">'گواهی شمش'!$A$1:$Y$16</definedName>
  </definedNames>
  <calcPr calcId="191029"/>
</workbook>
</file>

<file path=xl/calcChain.xml><?xml version="1.0" encoding="utf-8"?>
<calcChain xmlns="http://schemas.openxmlformats.org/spreadsheetml/2006/main">
  <c r="E8" i="13" l="1"/>
  <c r="C28" i="9"/>
  <c r="F10" i="8"/>
  <c r="F9" i="8"/>
  <c r="K10" i="9" l="1"/>
  <c r="K11" i="9"/>
  <c r="K16" i="9"/>
  <c r="K17" i="9"/>
  <c r="K18" i="9"/>
  <c r="K19" i="9"/>
  <c r="K20" i="9"/>
  <c r="K21" i="9"/>
  <c r="K22" i="9"/>
  <c r="K23" i="9"/>
  <c r="K24" i="9"/>
  <c r="K25" i="9"/>
  <c r="K26" i="9"/>
  <c r="K27" i="9"/>
  <c r="I10" i="9"/>
  <c r="I11" i="9"/>
  <c r="I16" i="9"/>
  <c r="I17" i="9"/>
  <c r="I18" i="9"/>
  <c r="I19" i="9"/>
  <c r="I20" i="9"/>
  <c r="I21" i="9"/>
  <c r="I22" i="9"/>
  <c r="I23" i="9"/>
  <c r="I24" i="9"/>
  <c r="I25" i="9"/>
  <c r="I26" i="9"/>
  <c r="I27" i="9"/>
  <c r="G14" i="9"/>
  <c r="G15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J9" i="8"/>
  <c r="J10" i="8"/>
  <c r="G9" i="9"/>
  <c r="E9" i="9"/>
  <c r="O9" i="9"/>
  <c r="Q11" i="9"/>
  <c r="Q12" i="9"/>
  <c r="Q13" i="9"/>
  <c r="Q14" i="9"/>
  <c r="Q15" i="9"/>
  <c r="G10" i="9"/>
  <c r="G11" i="9"/>
  <c r="E12" i="9"/>
  <c r="I12" i="9" s="1"/>
  <c r="K12" i="9" s="1"/>
  <c r="E13" i="9"/>
  <c r="E14" i="9"/>
  <c r="I14" i="9" s="1"/>
  <c r="K14" i="9" s="1"/>
  <c r="E15" i="9"/>
  <c r="I15" i="9" s="1"/>
  <c r="K15" i="9" s="1"/>
  <c r="I13" i="21"/>
  <c r="I9" i="21"/>
  <c r="I10" i="21"/>
  <c r="I11" i="21"/>
  <c r="I12" i="21"/>
  <c r="I8" i="21"/>
  <c r="Q9" i="21"/>
  <c r="Q10" i="21"/>
  <c r="Q11" i="21"/>
  <c r="Q12" i="21"/>
  <c r="Q8" i="21"/>
  <c r="Q13" i="21"/>
  <c r="O13" i="21"/>
  <c r="M13" i="21"/>
  <c r="G13" i="21"/>
  <c r="E13" i="21"/>
  <c r="O11" i="19"/>
  <c r="Q8" i="19"/>
  <c r="Q9" i="19"/>
  <c r="Q10" i="19"/>
  <c r="I11" i="19"/>
  <c r="I9" i="19"/>
  <c r="I10" i="19"/>
  <c r="I8" i="19"/>
  <c r="Q11" i="19"/>
  <c r="M11" i="19"/>
  <c r="G11" i="19"/>
  <c r="E11" i="19"/>
  <c r="K11" i="7"/>
  <c r="K10" i="7"/>
  <c r="K9" i="7"/>
  <c r="Y11" i="2"/>
  <c r="O16" i="2"/>
  <c r="U16" i="2"/>
  <c r="W16" i="2"/>
  <c r="Y16" i="2"/>
  <c r="Y10" i="2"/>
  <c r="Y12" i="2"/>
  <c r="Y13" i="2"/>
  <c r="Y14" i="2"/>
  <c r="Y15" i="2"/>
  <c r="Y9" i="2"/>
  <c r="G16" i="2"/>
  <c r="K16" i="2"/>
  <c r="E16" i="2"/>
  <c r="G9" i="13"/>
  <c r="G8" i="13"/>
  <c r="C9" i="13"/>
  <c r="C8" i="13"/>
  <c r="I10" i="7"/>
  <c r="I11" i="7" s="1"/>
  <c r="E21" i="23"/>
  <c r="F21" i="23"/>
  <c r="H21" i="23"/>
  <c r="L21" i="23"/>
  <c r="J21" i="23"/>
  <c r="M9" i="18"/>
  <c r="M8" i="18"/>
  <c r="G9" i="18"/>
  <c r="G8" i="18"/>
  <c r="I10" i="18"/>
  <c r="C10" i="18"/>
  <c r="A3" i="21"/>
  <c r="A3" i="23"/>
  <c r="A3" i="19"/>
  <c r="A3" i="24"/>
  <c r="A3" i="18"/>
  <c r="A3" i="13"/>
  <c r="A3" i="9"/>
  <c r="A3" i="8"/>
  <c r="A3" i="7"/>
  <c r="A1" i="21"/>
  <c r="A1" i="23"/>
  <c r="G21" i="9" s="1"/>
  <c r="A1" i="19"/>
  <c r="Q10" i="9" s="1"/>
  <c r="A1" i="24"/>
  <c r="A1" i="18"/>
  <c r="A1" i="13"/>
  <c r="A1" i="9"/>
  <c r="A1" i="8"/>
  <c r="A1" i="7"/>
  <c r="E28" i="9" l="1"/>
  <c r="I9" i="9"/>
  <c r="K9" i="9" s="1"/>
  <c r="S14" i="9"/>
  <c r="S11" i="9"/>
  <c r="S12" i="9"/>
  <c r="S13" i="9"/>
  <c r="S15" i="9"/>
  <c r="S10" i="9"/>
  <c r="Q21" i="9"/>
  <c r="S21" i="9" s="1"/>
  <c r="G20" i="9"/>
  <c r="Q20" i="9"/>
  <c r="S20" i="9" s="1"/>
  <c r="G19" i="9"/>
  <c r="Q19" i="9"/>
  <c r="S19" i="9" s="1"/>
  <c r="G18" i="9"/>
  <c r="Q9" i="9"/>
  <c r="S9" i="9" s="1"/>
  <c r="Q18" i="9"/>
  <c r="S18" i="9" s="1"/>
  <c r="G17" i="9"/>
  <c r="Q17" i="9"/>
  <c r="S17" i="9" s="1"/>
  <c r="G16" i="9"/>
  <c r="Q16" i="9"/>
  <c r="S16" i="9" s="1"/>
  <c r="G27" i="9"/>
  <c r="Q27" i="9"/>
  <c r="S27" i="9" s="1"/>
  <c r="G26" i="9"/>
  <c r="Q26" i="9"/>
  <c r="S26" i="9" s="1"/>
  <c r="G25" i="9"/>
  <c r="Q25" i="9"/>
  <c r="S25" i="9" s="1"/>
  <c r="G24" i="9"/>
  <c r="Q24" i="9"/>
  <c r="S24" i="9" s="1"/>
  <c r="G23" i="9"/>
  <c r="Q23" i="9"/>
  <c r="S23" i="9" s="1"/>
  <c r="G22" i="9"/>
  <c r="Q22" i="9"/>
  <c r="S22" i="9" s="1"/>
  <c r="M10" i="18"/>
  <c r="G10" i="13"/>
  <c r="I9" i="13" s="1"/>
  <c r="G10" i="18"/>
  <c r="C10" i="13"/>
  <c r="D9" i="24"/>
  <c r="F9" i="24"/>
  <c r="Q28" i="9" l="1"/>
  <c r="S28" i="9"/>
  <c r="F8" i="8" s="1"/>
  <c r="F11" i="8" s="1"/>
  <c r="U9" i="9" s="1"/>
  <c r="I8" i="13"/>
  <c r="I10" i="13" s="1"/>
  <c r="M28" i="9"/>
  <c r="E9" i="13"/>
  <c r="E10" i="13" l="1"/>
  <c r="O28" i="9"/>
  <c r="J8" i="8"/>
  <c r="J11" i="8" s="1"/>
  <c r="C11" i="7"/>
  <c r="E11" i="7"/>
  <c r="G11" i="7"/>
  <c r="U25" i="9" l="1"/>
  <c r="U14" i="9"/>
  <c r="U26" i="9"/>
  <c r="U15" i="9"/>
  <c r="U27" i="9"/>
  <c r="U16" i="9"/>
  <c r="U17" i="9"/>
  <c r="U18" i="9"/>
  <c r="U23" i="9"/>
  <c r="U24" i="9"/>
  <c r="U19" i="9"/>
  <c r="U20" i="9"/>
  <c r="U21" i="9"/>
  <c r="U10" i="9"/>
  <c r="U22" i="9"/>
  <c r="U11" i="9"/>
  <c r="U12" i="9"/>
  <c r="U13" i="9"/>
  <c r="H8" i="8"/>
  <c r="H10" i="8"/>
  <c r="H9" i="8"/>
  <c r="H11" i="8" l="1"/>
  <c r="U28" i="9"/>
  <c r="G13" i="9"/>
  <c r="G28" i="9" s="1"/>
  <c r="I13" i="9" l="1"/>
  <c r="I28" i="9" l="1"/>
  <c r="K13" i="9"/>
  <c r="K28" i="9" s="1"/>
</calcChain>
</file>

<file path=xl/sharedStrings.xml><?xml version="1.0" encoding="utf-8"?>
<sst xmlns="http://schemas.openxmlformats.org/spreadsheetml/2006/main" count="249" uniqueCount="100">
  <si>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</si>
  <si>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</si>
  <si>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</si>
  <si>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</si>
  <si>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</si>
  <si>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</si>
  <si>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</si>
  <si>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</si>
  <si>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</si>
  <si>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</si>
  <si>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</si>
  <si>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</si>
  <si>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</si>
  <si>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</si>
  <si>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</si>
  <si>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</si>
  <si>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</si>
  <si>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تاریخ اعمال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</si>
  <si>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</si>
  <si>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</si>
  <si>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</si>
  <si>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</si>
  <si>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</si>
  <si>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</si>
  <si>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</si>
  <si>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</si>
  <si>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</si>
  <si>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</si>
  <si>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</si>
  <si>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</si>
  <si>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</si>
  <si>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</si>
  <si>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</si>
  <si>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</si>
  <si>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</si>
  <si>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</si>
  <si>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</si>
  <si>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</si>
  <si>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</si>
  <si>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</si>
  <si>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</si>
  <si>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</si>
  <si>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</si>
  <si>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</si>
  <si>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</si>
  <si>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</si>
  <si>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</si>
  <si>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</si>
  <si>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</si>
  <si>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</si>
  <si>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</si>
  <si>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</si>
  <si>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</si>
  <si>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</si>
  <si>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</si>
  <si>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</si>
  <si>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</si>
  <si>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</si>
  <si>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</si>
  <si>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</si>
  <si>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 سپرده‌ بانکی</t>
  </si>
  <si>
    <t>1-2-درآمد حاصل از سرمایه­گذاری در سهام و حق تقدم سهام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</si>
  <si>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</si>
  <si>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</si>
  <si>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</si>
  <si>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</si>
  <si>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</si>
  <si>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</si>
  <si>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</si>
  <si>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</si>
  <si>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</si>
  <si>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</si>
  <si>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</si>
  <si>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</si>
  <si>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</si>
  <si>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</si>
  <si>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</si>
  <si>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</si>
  <si>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</si>
  <si>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</si>
  <si>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1404/11/19</t>
  </si>
  <si>
    <t>1405/01/31</t>
  </si>
  <si>
    <t>سپرده کوتاه مدت بانک ملت ظفر</t>
  </si>
  <si>
    <t>‫برای ماه منتهی به 31 اردیبهشت ماه 1405</t>
  </si>
  <si>
    <t>برای ماه منتهی به 1405/02/31</t>
  </si>
  <si>
    <t>1405/02/31</t>
  </si>
  <si>
    <t>اختیار خرید گواهی سپرده پیوسته شمش طلای +995 GBAB05C1800 18000000.0000-1405/08/19</t>
  </si>
  <si>
    <t>اختیار خرید گواهی سپرده پیوسته شمش طلای +995 GBAB05C2000 20000000.0000-1405/08/19</t>
  </si>
  <si>
    <t>اختیار خرید گواهی سپرده پیوسته شمش طلای +995 GBAB05C2200 22000000.0000-1405/08/19</t>
  </si>
  <si>
    <t>اختیار خرید گواهی سپرده پیوسته شمش طلای +995 GBAB05C2400 24000000.0000-1405/08/19</t>
  </si>
  <si>
    <t>شمش نقره SilverBar</t>
  </si>
  <si>
    <t>-</t>
  </si>
  <si>
    <t>موقعیت خرید</t>
  </si>
  <si>
    <t>اختیار خرید</t>
  </si>
  <si>
    <t>قیمت اعمال</t>
  </si>
  <si>
    <t>تعداد اوراق</t>
  </si>
  <si>
    <t>استراتژی ماخوذه</t>
  </si>
  <si>
    <t>نوع موقعیت</t>
  </si>
  <si>
    <t>نوع اختیار</t>
  </si>
  <si>
    <t>نام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</si>
</sst>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11" fillId="0" borderId="0"/>
    <xf numFmtId="164" fontId="14" fillId="0" borderId="0" applyFont="0" applyFill="0" applyBorder="0" applyAlignment="0" applyProtection="0"/>
    <xf numFmtId="0" fontId="1" fillId="0" borderId="0"/>
  </cellStyleXfs>
  <cellXfs count="10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1" applyFont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5" fillId="0" borderId="5" xfId="0" applyNumberFormat="1" applyFont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7" fontId="5" fillId="0" borderId="7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37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0" fontId="5" fillId="0" borderId="0" xfId="0" applyNumberFormat="1" applyFont="1" applyAlignment="1">
      <alignment horizontal="right" vertical="center"/>
    </xf>
    <xf numFmtId="40" fontId="5" fillId="0" borderId="7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1" applyNumberFormat="1" applyAlignment="1">
      <alignment horizontal="left"/>
    </xf>
    <xf numFmtId="38" fontId="0" fillId="0" borderId="0" xfId="0" applyNumberFormat="1" applyAlignment="1">
      <alignment horizontal="left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3" fontId="5" fillId="0" borderId="2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top"/>
    </xf>
    <xf numFmtId="0" fontId="6" fillId="0" borderId="0" xfId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sheetPr>
    <tabColor rgb="FF92D050"/>
  </sheetPr>
  <dimension ref="A15:I27"/>
  <sheetViews>
    <sheetView rightToLeft="1" view="pageBreakPreview" zoomScale="78" zoomScaleNormal="100" zoomScaleSheetLayoutView="78" workbookViewId="0">
      <selection activeCell="B24" sqref="B24"/>
    </sheetView>
  </sheetViews>
  <sheetFormatPr defaultRowHeight="18.75"/>
  <cols>
    <col min="1" max="16384" width="9.140625" style="39"/>
  </cols>
  <sheetData>
    <row r="15" spans="1:9" ht="33.75" customHeight="1">
      <c r="A15" s="77" t="s">
        <v>79</v>
      </c>
      <c r="B15" s="77"/>
      <c r="C15" s="77"/>
      <c r="D15" s="77"/>
      <c r="E15" s="77"/>
      <c r="F15" s="77"/>
      <c r="G15" s="77"/>
      <c r="H15" s="77"/>
      <c r="I15" s="77"/>
    </row>
    <row r="16" spans="1:9" ht="33.75" customHeight="1">
      <c r="A16" s="77" t="s">
        <v>78</v>
      </c>
      <c r="B16" s="77"/>
      <c r="C16" s="77"/>
      <c r="D16" s="77"/>
      <c r="E16" s="77"/>
      <c r="F16" s="77"/>
      <c r="G16" s="77"/>
      <c r="H16" s="77"/>
      <c r="I16" s="77"/>
    </row>
    <row r="17" spans="1:9" ht="33.75" customHeight="1">
      <c r="A17" s="78" t="s">
        <v>77</v>
      </c>
      <c r="B17" s="78"/>
      <c r="C17" s="78"/>
      <c r="D17" s="78"/>
      <c r="E17" s="78"/>
      <c r="F17" s="78"/>
      <c r="G17" s="78"/>
      <c r="H17" s="78"/>
      <c r="I17" s="78"/>
    </row>
    <row r="18" spans="1:9" ht="33.75" customHeight="1">
      <c r="A18" s="77" t="s">
        <v>83</v>
      </c>
      <c r="B18" s="77"/>
      <c r="C18" s="77"/>
      <c r="D18" s="77"/>
      <c r="E18" s="77"/>
      <c r="F18" s="77"/>
      <c r="G18" s="77"/>
      <c r="H18" s="77"/>
      <c r="I18" s="77"/>
    </row>
    <row r="19" spans="1:9">
      <c r="A19" s="41"/>
      <c r="B19" s="41"/>
      <c r="C19" s="41"/>
      <c r="D19" s="41"/>
      <c r="E19" s="41"/>
      <c r="F19" s="41"/>
      <c r="G19" s="41"/>
      <c r="H19" s="41"/>
      <c r="I19" s="41"/>
    </row>
    <row r="20" spans="1:9">
      <c r="A20" s="41"/>
      <c r="B20" s="41"/>
      <c r="C20" s="41"/>
      <c r="D20" s="41"/>
      <c r="E20" s="41"/>
      <c r="F20" s="41"/>
      <c r="G20" s="41"/>
      <c r="H20" s="41"/>
      <c r="I20" s="41"/>
    </row>
    <row r="21" spans="1:9">
      <c r="A21" s="41"/>
      <c r="B21" s="41"/>
      <c r="C21" s="41"/>
      <c r="D21" s="41"/>
      <c r="E21" s="41"/>
      <c r="F21" s="41"/>
      <c r="G21" s="41"/>
      <c r="H21" s="41"/>
      <c r="I21" s="41"/>
    </row>
    <row r="22" spans="1:9">
      <c r="A22" s="41"/>
      <c r="B22" s="41"/>
      <c r="C22" s="41"/>
      <c r="D22" s="41"/>
      <c r="E22" s="41"/>
      <c r="F22" s="41"/>
      <c r="G22" s="41"/>
      <c r="H22" s="41"/>
      <c r="I22" s="41"/>
    </row>
    <row r="23" spans="1:9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34.5" customHeight="1">
      <c r="A24" s="41"/>
      <c r="B24" s="41"/>
      <c r="C24" s="41"/>
      <c r="D24" s="41"/>
      <c r="E24" s="41"/>
      <c r="F24" s="41"/>
      <c r="G24" s="41"/>
      <c r="H24" s="41"/>
      <c r="I24" s="41"/>
    </row>
    <row r="27" spans="1:9">
      <c r="C27" s="40" t="s">
        <v>76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7"/>
  <sheetViews>
    <sheetView rightToLeft="1" view="pageBreakPreview" zoomScale="118" zoomScaleNormal="100" zoomScaleSheetLayoutView="118" workbookViewId="0">
      <selection activeCell="Q12" sqref="Q12"/>
    </sheetView>
  </sheetViews>
  <sheetFormatPr defaultRowHeight="12.75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2" bestFit="1" customWidth="1"/>
    <col min="10" max="10" width="1.28515625" customWidth="1"/>
    <col min="11" max="11" width="8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.28515625" bestFit="1" customWidth="1"/>
    <col min="16" max="16" width="1.28515625" customWidth="1"/>
    <col min="17" max="17" width="22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9" ht="21.7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9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9" ht="14.45" customHeight="1"/>
    <row r="5" spans="1:19" ht="14.45" customHeight="1">
      <c r="A5" s="96" t="s">
        <v>47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19" ht="14.45" customHeight="1">
      <c r="A6" s="82" t="s">
        <v>26</v>
      </c>
      <c r="C6" s="82" t="s">
        <v>34</v>
      </c>
      <c r="D6" s="82"/>
      <c r="E6" s="82"/>
      <c r="F6" s="82"/>
      <c r="G6" s="82"/>
      <c r="H6" s="82"/>
      <c r="I6" s="82"/>
      <c r="K6" s="82" t="s">
        <v>35</v>
      </c>
      <c r="L6" s="82"/>
      <c r="M6" s="82"/>
      <c r="N6" s="82"/>
      <c r="O6" s="82"/>
      <c r="P6" s="82"/>
      <c r="Q6" s="82"/>
    </row>
    <row r="7" spans="1:19" ht="29.1" customHeight="1">
      <c r="A7" s="82"/>
      <c r="C7" s="7" t="s">
        <v>4</v>
      </c>
      <c r="D7" s="3"/>
      <c r="E7" s="7" t="s">
        <v>48</v>
      </c>
      <c r="F7" s="3"/>
      <c r="G7" s="7" t="s">
        <v>49</v>
      </c>
      <c r="H7" s="3"/>
      <c r="I7" s="7" t="s">
        <v>50</v>
      </c>
      <c r="K7" s="7" t="s">
        <v>4</v>
      </c>
      <c r="L7" s="3"/>
      <c r="M7" s="7" t="s">
        <v>48</v>
      </c>
      <c r="N7" s="3"/>
      <c r="O7" s="7" t="s">
        <v>49</v>
      </c>
      <c r="P7" s="3"/>
      <c r="Q7" s="7" t="s">
        <v>50</v>
      </c>
    </row>
    <row r="8" spans="1:19" ht="21.75" customHeight="1">
      <c r="A8" s="5" t="s">
        <v>15</v>
      </c>
      <c r="C8" s="11">
        <v>6700</v>
      </c>
      <c r="D8" s="11"/>
      <c r="E8" s="55">
        <v>177041286587</v>
      </c>
      <c r="F8" s="55"/>
      <c r="G8" s="55">
        <v>107147973078</v>
      </c>
      <c r="H8" s="55"/>
      <c r="I8" s="55">
        <f>E8-G8</f>
        <v>69893313509</v>
      </c>
      <c r="J8" s="55"/>
      <c r="K8" s="55">
        <v>464918</v>
      </c>
      <c r="L8" s="55"/>
      <c r="M8" s="55">
        <v>8306877126184</v>
      </c>
      <c r="N8" s="55"/>
      <c r="O8" s="55">
        <v>6050230875886</v>
      </c>
      <c r="P8" s="55"/>
      <c r="Q8" s="56">
        <f t="shared" ref="Q8:Q9" si="0">M8-O8</f>
        <v>2256646250298</v>
      </c>
      <c r="R8" s="21"/>
      <c r="S8" s="21"/>
    </row>
    <row r="9" spans="1:19" ht="21.75" customHeight="1">
      <c r="A9" s="6" t="s">
        <v>39</v>
      </c>
      <c r="C9" s="12">
        <v>70</v>
      </c>
      <c r="D9" s="12"/>
      <c r="E9" s="56">
        <v>137481393104</v>
      </c>
      <c r="F9" s="56"/>
      <c r="G9" s="56">
        <v>145255525116</v>
      </c>
      <c r="H9" s="56"/>
      <c r="I9" s="56">
        <f t="shared" ref="I9:I10" si="1">E9-G9</f>
        <v>-7774132012</v>
      </c>
      <c r="J9" s="56"/>
      <c r="K9" s="56">
        <v>470</v>
      </c>
      <c r="L9" s="56"/>
      <c r="M9" s="56">
        <v>591232602928</v>
      </c>
      <c r="N9" s="56"/>
      <c r="O9" s="56">
        <v>548848187915</v>
      </c>
      <c r="P9" s="56"/>
      <c r="Q9" s="56">
        <f t="shared" si="0"/>
        <v>42384415013</v>
      </c>
      <c r="R9" s="21"/>
    </row>
    <row r="10" spans="1:19" ht="21.75" customHeight="1">
      <c r="A10" s="6" t="s">
        <v>90</v>
      </c>
      <c r="C10" s="12">
        <v>7000</v>
      </c>
      <c r="D10" s="12"/>
      <c r="E10" s="56">
        <v>38198140755</v>
      </c>
      <c r="F10" s="56"/>
      <c r="G10" s="56">
        <v>35552408356</v>
      </c>
      <c r="H10" s="56"/>
      <c r="I10" s="56">
        <f t="shared" si="1"/>
        <v>2645732399</v>
      </c>
      <c r="J10" s="56"/>
      <c r="K10" s="56">
        <v>7000</v>
      </c>
      <c r="L10" s="56"/>
      <c r="M10" s="56">
        <v>38198140755</v>
      </c>
      <c r="N10" s="56"/>
      <c r="O10" s="56">
        <v>35552408356</v>
      </c>
      <c r="P10" s="56"/>
      <c r="Q10" s="56">
        <f>M10-O10</f>
        <v>2645732399</v>
      </c>
      <c r="R10" s="21"/>
    </row>
    <row r="11" spans="1:19" ht="21.75" customHeight="1" thickBot="1">
      <c r="A11" s="18"/>
      <c r="C11" s="12"/>
      <c r="D11" s="14"/>
      <c r="E11" s="57">
        <f>SUM(E8:E10)</f>
        <v>352720820446</v>
      </c>
      <c r="F11" s="58"/>
      <c r="G11" s="57">
        <f>SUM(G8:G10)</f>
        <v>287955906550</v>
      </c>
      <c r="H11" s="58"/>
      <c r="I11" s="57">
        <f>SUM(I8:I10)</f>
        <v>64764913896</v>
      </c>
      <c r="J11" s="58"/>
      <c r="K11" s="56"/>
      <c r="L11" s="58"/>
      <c r="M11" s="57">
        <f>SUM(M8:M10)</f>
        <v>8936307869867</v>
      </c>
      <c r="N11" s="58"/>
      <c r="O11" s="57">
        <f>SUM(O8:O10)</f>
        <v>6634631472157</v>
      </c>
      <c r="P11" s="58"/>
      <c r="Q11" s="57">
        <f>SUM(Q8:Q10)</f>
        <v>2301676397710</v>
      </c>
      <c r="R11" s="21"/>
    </row>
    <row r="12" spans="1:19" ht="13.5" thickTop="1">
      <c r="I12" s="21"/>
      <c r="Q12" s="38"/>
      <c r="R12" s="38"/>
    </row>
    <row r="13" spans="1:19">
      <c r="I13" s="21"/>
      <c r="Q13" s="21"/>
      <c r="R13" s="21"/>
    </row>
    <row r="14" spans="1:19">
      <c r="Q14" s="21"/>
    </row>
    <row r="16" spans="1:19">
      <c r="Q16" s="21"/>
    </row>
    <row r="17" spans="7:7">
      <c r="G17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22"/>
  <sheetViews>
    <sheetView rightToLeft="1" view="pageBreakPreview" topLeftCell="A7" zoomScale="96" zoomScaleNormal="100" zoomScaleSheetLayoutView="96" workbookViewId="0">
      <selection activeCell="A30" sqref="A30"/>
    </sheetView>
  </sheetViews>
  <sheetFormatPr defaultRowHeight="12.75"/>
  <cols>
    <col min="1" max="1" width="98.85546875" style="24" bestFit="1" customWidth="1"/>
    <col min="2" max="2" width="1.28515625" style="24" customWidth="1"/>
    <col min="3" max="3" width="11" style="24" bestFit="1" customWidth="1"/>
    <col min="4" max="4" width="1.28515625" style="24" customWidth="1"/>
    <col min="5" max="5" width="10.42578125" style="24" customWidth="1"/>
    <col min="6" max="6" width="16.140625" style="24" customWidth="1"/>
    <col min="7" max="7" width="1.28515625" style="24" customWidth="1"/>
    <col min="8" max="8" width="15.42578125" style="24" customWidth="1"/>
    <col min="9" max="9" width="1.28515625" style="24" customWidth="1"/>
    <col min="10" max="10" width="15.5703125" style="24" customWidth="1"/>
    <col min="11" max="11" width="1.28515625" style="24" customWidth="1"/>
    <col min="12" max="12" width="15.5703125" style="24" customWidth="1"/>
    <col min="13" max="16384" width="9.140625" style="24"/>
  </cols>
  <sheetData>
    <row r="1" spans="1:12" ht="25.5">
      <c r="A1" s="91" t="str">
        <f>'گواهی شمش'!A1</f>
        <v>صندوق سرمایه گذاری کالایی درفش دماوند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5.5">
      <c r="A2" s="91" t="s">
        <v>23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5.5">
      <c r="A3" s="91" t="str">
        <f>'گواهی شمش'!A3</f>
        <v>برای ماه منتهی به 1405/02/31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7.35" customHeight="1"/>
    <row r="5" spans="1:12" ht="24">
      <c r="A5" s="99" t="s">
        <v>51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2" ht="7.35" customHeight="1"/>
    <row r="7" spans="1:12" ht="14.45" customHeight="1">
      <c r="C7" s="100" t="s">
        <v>34</v>
      </c>
      <c r="D7" s="100"/>
      <c r="E7" s="100"/>
      <c r="F7" s="100"/>
      <c r="G7" s="100"/>
      <c r="H7" s="100"/>
      <c r="I7" s="100"/>
      <c r="J7" s="100"/>
      <c r="L7" s="27" t="s">
        <v>35</v>
      </c>
    </row>
    <row r="8" spans="1:12" ht="21">
      <c r="A8" s="27" t="s">
        <v>52</v>
      </c>
      <c r="C8" s="25" t="s">
        <v>17</v>
      </c>
      <c r="D8" s="26"/>
      <c r="E8" s="25" t="s">
        <v>4</v>
      </c>
      <c r="F8" s="25" t="s">
        <v>53</v>
      </c>
      <c r="G8" s="26"/>
      <c r="H8" s="25" t="s">
        <v>54</v>
      </c>
      <c r="I8" s="26"/>
      <c r="J8" s="25" t="s">
        <v>55</v>
      </c>
      <c r="L8" s="25" t="s">
        <v>55</v>
      </c>
    </row>
    <row r="9" spans="1:12" ht="18.75">
      <c r="A9" s="6" t="s">
        <v>63</v>
      </c>
      <c r="C9" s="28" t="s">
        <v>70</v>
      </c>
      <c r="E9" s="29">
        <v>0</v>
      </c>
      <c r="F9" s="29">
        <v>0</v>
      </c>
      <c r="G9" s="29"/>
      <c r="H9" s="29">
        <v>0</v>
      </c>
      <c r="I9" s="29"/>
      <c r="J9" s="29">
        <v>0</v>
      </c>
      <c r="K9" s="29"/>
      <c r="L9" s="29">
        <v>2323243497</v>
      </c>
    </row>
    <row r="10" spans="1:12" ht="18.75">
      <c r="A10" s="6" t="s">
        <v>64</v>
      </c>
      <c r="C10" s="28" t="s">
        <v>70</v>
      </c>
      <c r="E10" s="29">
        <v>0</v>
      </c>
      <c r="F10" s="29">
        <v>0</v>
      </c>
      <c r="G10" s="29"/>
      <c r="H10" s="29">
        <v>0</v>
      </c>
      <c r="I10" s="29"/>
      <c r="J10" s="29">
        <v>0</v>
      </c>
      <c r="K10" s="29"/>
      <c r="L10" s="29">
        <v>950536282</v>
      </c>
    </row>
    <row r="11" spans="1:12" ht="18.75">
      <c r="A11" s="6" t="s">
        <v>65</v>
      </c>
      <c r="C11" s="28" t="s">
        <v>70</v>
      </c>
      <c r="E11" s="29">
        <v>0</v>
      </c>
      <c r="F11" s="29">
        <v>0</v>
      </c>
      <c r="G11" s="29"/>
      <c r="H11" s="29">
        <v>0</v>
      </c>
      <c r="I11" s="29"/>
      <c r="J11" s="29">
        <v>0</v>
      </c>
      <c r="K11" s="29"/>
      <c r="L11" s="29">
        <v>11623371119</v>
      </c>
    </row>
    <row r="12" spans="1:12" ht="18.75">
      <c r="A12" s="6" t="s">
        <v>66</v>
      </c>
      <c r="C12" s="28" t="s">
        <v>70</v>
      </c>
      <c r="E12" s="29">
        <v>0</v>
      </c>
      <c r="F12" s="29">
        <v>0</v>
      </c>
      <c r="G12" s="29"/>
      <c r="H12" s="29">
        <v>0</v>
      </c>
      <c r="I12" s="29"/>
      <c r="J12" s="29">
        <v>0</v>
      </c>
      <c r="K12" s="29"/>
      <c r="L12" s="29">
        <v>9403317173</v>
      </c>
    </row>
    <row r="13" spans="1:12" ht="18.75">
      <c r="A13" s="6" t="s">
        <v>67</v>
      </c>
      <c r="C13" s="28" t="s">
        <v>70</v>
      </c>
      <c r="E13" s="29">
        <v>0</v>
      </c>
      <c r="F13" s="29">
        <v>0</v>
      </c>
      <c r="G13" s="29"/>
      <c r="H13" s="29">
        <v>0</v>
      </c>
      <c r="I13" s="29"/>
      <c r="J13" s="29">
        <v>0</v>
      </c>
      <c r="K13" s="29"/>
      <c r="L13" s="29">
        <v>3737822385</v>
      </c>
    </row>
    <row r="14" spans="1:12" ht="18.75">
      <c r="A14" s="6" t="s">
        <v>68</v>
      </c>
      <c r="C14" s="28" t="s">
        <v>70</v>
      </c>
      <c r="E14" s="29">
        <v>0</v>
      </c>
      <c r="F14" s="29">
        <v>0</v>
      </c>
      <c r="G14" s="29"/>
      <c r="H14" s="29">
        <v>0</v>
      </c>
      <c r="I14" s="29"/>
      <c r="J14" s="29">
        <v>0</v>
      </c>
      <c r="K14" s="29"/>
      <c r="L14" s="29">
        <v>993815288</v>
      </c>
    </row>
    <row r="15" spans="1:12" ht="18.75">
      <c r="A15" s="6" t="s">
        <v>69</v>
      </c>
      <c r="C15" s="28" t="s">
        <v>70</v>
      </c>
      <c r="E15" s="29">
        <v>0</v>
      </c>
      <c r="F15" s="29">
        <v>0</v>
      </c>
      <c r="G15" s="29"/>
      <c r="H15" s="29">
        <v>0</v>
      </c>
      <c r="I15" s="29"/>
      <c r="J15" s="29">
        <v>0</v>
      </c>
      <c r="K15" s="29"/>
      <c r="L15" s="29">
        <v>824652506</v>
      </c>
    </row>
    <row r="16" spans="1:12" ht="18.75">
      <c r="A16" s="6" t="s">
        <v>10</v>
      </c>
      <c r="C16" s="28" t="s">
        <v>80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/>
      <c r="L16" s="29">
        <v>7851327396</v>
      </c>
    </row>
    <row r="17" spans="1:12" ht="18.75">
      <c r="A17" s="6" t="s">
        <v>11</v>
      </c>
      <c r="C17" s="28" t="s">
        <v>80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/>
      <c r="L17" s="29">
        <v>13506334256</v>
      </c>
    </row>
    <row r="18" spans="1:12" ht="18.75">
      <c r="A18" s="6" t="s">
        <v>12</v>
      </c>
      <c r="C18" s="28" t="s">
        <v>80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/>
      <c r="L18" s="29">
        <v>12192942597</v>
      </c>
    </row>
    <row r="19" spans="1:12" ht="18.75">
      <c r="A19" s="6" t="s">
        <v>13</v>
      </c>
      <c r="C19" s="28" t="s">
        <v>80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/>
      <c r="L19" s="29">
        <v>21986883549</v>
      </c>
    </row>
    <row r="20" spans="1:12" ht="18.75">
      <c r="A20" s="6" t="s">
        <v>14</v>
      </c>
      <c r="C20" s="28" t="s">
        <v>80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/>
      <c r="L20" s="29">
        <v>7953236119</v>
      </c>
    </row>
    <row r="21" spans="1:12" ht="19.5" thickBot="1">
      <c r="E21" s="30">
        <f>SUM(E9:E20)</f>
        <v>0</v>
      </c>
      <c r="F21" s="30">
        <f>SUM(F9:F20)</f>
        <v>0</v>
      </c>
      <c r="G21" s="29"/>
      <c r="H21" s="30">
        <f>SUM(H9:H20)</f>
        <v>0</v>
      </c>
      <c r="I21" s="29"/>
      <c r="J21" s="30">
        <f>SUM(J9:J20)</f>
        <v>0</v>
      </c>
      <c r="K21" s="29"/>
      <c r="L21" s="30">
        <f>SUM(L9:L20)</f>
        <v>93347482167</v>
      </c>
    </row>
    <row r="22" spans="1:12" ht="13.5" thickTop="1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8"/>
  <sheetViews>
    <sheetView rightToLeft="1" tabSelected="1" view="pageBreakPreview" zoomScaleNormal="100" zoomScaleSheetLayoutView="100" workbookViewId="0">
      <selection activeCell="Q14" sqref="Q14:Q20"/>
    </sheetView>
  </sheetViews>
  <sheetFormatPr defaultRowHeight="12.75"/>
  <cols>
    <col min="1" max="1" width="81.28515625" bestFit="1" customWidth="1"/>
    <col min="2" max="2" width="1.28515625" customWidth="1"/>
    <col min="3" max="3" width="10.570312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0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6.42578125" bestFit="1" customWidth="1"/>
    <col min="18" max="18" width="13.85546875" bestFit="1" customWidth="1"/>
  </cols>
  <sheetData>
    <row r="1" spans="1:18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8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8" ht="14.45" customHeight="1"/>
    <row r="5" spans="1:18" ht="14.45" customHeight="1">
      <c r="A5" s="96" t="s">
        <v>56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18" ht="14.45" customHeight="1">
      <c r="A6" s="82" t="s">
        <v>26</v>
      </c>
      <c r="C6" s="82" t="s">
        <v>34</v>
      </c>
      <c r="D6" s="82"/>
      <c r="E6" s="82"/>
      <c r="F6" s="82"/>
      <c r="G6" s="82"/>
      <c r="H6" s="82"/>
      <c r="I6" s="82"/>
      <c r="K6" s="82" t="s">
        <v>35</v>
      </c>
      <c r="L6" s="82"/>
      <c r="M6" s="82"/>
      <c r="N6" s="82"/>
      <c r="O6" s="82"/>
      <c r="P6" s="82"/>
      <c r="Q6" s="82"/>
    </row>
    <row r="7" spans="1:18" ht="29.1" customHeight="1">
      <c r="A7" s="82"/>
      <c r="C7" s="7" t="s">
        <v>4</v>
      </c>
      <c r="D7" s="3"/>
      <c r="E7" s="7" t="s">
        <v>6</v>
      </c>
      <c r="F7" s="3"/>
      <c r="G7" s="7" t="s">
        <v>49</v>
      </c>
      <c r="H7" s="3"/>
      <c r="I7" s="7" t="s">
        <v>57</v>
      </c>
      <c r="K7" s="7" t="s">
        <v>4</v>
      </c>
      <c r="L7" s="3"/>
      <c r="M7" s="7" t="s">
        <v>6</v>
      </c>
      <c r="N7" s="3"/>
      <c r="O7" s="7" t="s">
        <v>49</v>
      </c>
      <c r="P7" s="3"/>
      <c r="Q7" s="7" t="s">
        <v>57</v>
      </c>
    </row>
    <row r="8" spans="1:18" ht="21.75" customHeight="1">
      <c r="A8" s="6" t="s">
        <v>15</v>
      </c>
      <c r="C8" s="59">
        <v>1183000</v>
      </c>
      <c r="D8" s="60"/>
      <c r="E8" s="59">
        <v>30129564232040</v>
      </c>
      <c r="F8" s="60"/>
      <c r="G8" s="59">
        <v>27136170346330</v>
      </c>
      <c r="H8" s="60"/>
      <c r="I8" s="59">
        <f>E8-G8</f>
        <v>2993393885710</v>
      </c>
      <c r="J8" s="60"/>
      <c r="K8" s="59">
        <v>1183000</v>
      </c>
      <c r="L8" s="60"/>
      <c r="M8" s="59">
        <v>30129564232040</v>
      </c>
      <c r="N8" s="60"/>
      <c r="O8" s="59">
        <v>19118312066950</v>
      </c>
      <c r="P8" s="60"/>
      <c r="Q8" s="59">
        <f>M8-O8</f>
        <v>11011252165090</v>
      </c>
      <c r="R8" s="21"/>
    </row>
    <row r="9" spans="1:18" ht="21.75" customHeight="1">
      <c r="A9" s="6" t="s">
        <v>86</v>
      </c>
      <c r="C9" s="59">
        <v>34025</v>
      </c>
      <c r="D9" s="59"/>
      <c r="E9" s="59">
        <v>366459389450</v>
      </c>
      <c r="F9" s="59"/>
      <c r="G9" s="59">
        <v>457407757390</v>
      </c>
      <c r="H9" s="59"/>
      <c r="I9" s="59">
        <f t="shared" ref="I9:I12" si="0">E9-G9</f>
        <v>-90948367940</v>
      </c>
      <c r="J9" s="59"/>
      <c r="K9" s="59">
        <v>34025</v>
      </c>
      <c r="L9" s="59"/>
      <c r="M9" s="59">
        <v>366459389450</v>
      </c>
      <c r="N9" s="59"/>
      <c r="O9" s="59">
        <v>457407757390</v>
      </c>
      <c r="P9" s="60"/>
      <c r="Q9" s="59">
        <f t="shared" ref="Q9:Q12" si="1">M9-O9</f>
        <v>-90948367940</v>
      </c>
      <c r="R9" s="21"/>
    </row>
    <row r="10" spans="1:18" ht="21.75" customHeight="1">
      <c r="A10" s="6" t="s">
        <v>89</v>
      </c>
      <c r="C10" s="59">
        <v>5805</v>
      </c>
      <c r="D10" s="60"/>
      <c r="E10" s="59">
        <v>63797524700</v>
      </c>
      <c r="F10" s="60"/>
      <c r="G10" s="59">
        <v>51900766213</v>
      </c>
      <c r="H10" s="60"/>
      <c r="I10" s="59">
        <f t="shared" si="0"/>
        <v>11896758487</v>
      </c>
      <c r="J10" s="60"/>
      <c r="K10" s="59">
        <v>5805</v>
      </c>
      <c r="L10" s="60"/>
      <c r="M10" s="59">
        <v>63797524700</v>
      </c>
      <c r="N10" s="60"/>
      <c r="O10" s="59">
        <v>51900766213</v>
      </c>
      <c r="P10" s="60"/>
      <c r="Q10" s="59">
        <f t="shared" si="1"/>
        <v>11896758487</v>
      </c>
      <c r="R10" s="21"/>
    </row>
    <row r="11" spans="1:18" ht="21.75" customHeight="1">
      <c r="A11" s="6" t="s">
        <v>87</v>
      </c>
      <c r="C11" s="59">
        <v>16520</v>
      </c>
      <c r="D11" s="60"/>
      <c r="E11" s="59">
        <v>181556452000</v>
      </c>
      <c r="F11" s="60"/>
      <c r="G11" s="59">
        <v>184032911195</v>
      </c>
      <c r="H11" s="60"/>
      <c r="I11" s="59">
        <f t="shared" si="0"/>
        <v>-2476459195</v>
      </c>
      <c r="J11" s="60"/>
      <c r="K11" s="59">
        <v>16520</v>
      </c>
      <c r="L11" s="60"/>
      <c r="M11" s="59">
        <v>181556452000</v>
      </c>
      <c r="N11" s="60"/>
      <c r="O11" s="59">
        <v>184032911195</v>
      </c>
      <c r="P11" s="60"/>
      <c r="Q11" s="59">
        <f t="shared" si="1"/>
        <v>-2476459195</v>
      </c>
      <c r="R11" s="21"/>
    </row>
    <row r="12" spans="1:18" ht="21.75" customHeight="1">
      <c r="A12" s="6" t="s">
        <v>88</v>
      </c>
      <c r="C12" s="59">
        <v>15520</v>
      </c>
      <c r="D12" s="60"/>
      <c r="E12" s="59">
        <v>186072384000</v>
      </c>
      <c r="F12" s="60"/>
      <c r="G12" s="59">
        <v>163301554114</v>
      </c>
      <c r="H12" s="60"/>
      <c r="I12" s="59">
        <f t="shared" si="0"/>
        <v>22770829886</v>
      </c>
      <c r="J12" s="60"/>
      <c r="K12" s="59">
        <v>15520</v>
      </c>
      <c r="L12" s="60"/>
      <c r="M12" s="59">
        <v>186072384000</v>
      </c>
      <c r="N12" s="60"/>
      <c r="O12" s="59">
        <v>163301554114</v>
      </c>
      <c r="P12" s="60"/>
      <c r="Q12" s="59">
        <f t="shared" si="1"/>
        <v>22770829886</v>
      </c>
      <c r="R12" s="21"/>
    </row>
    <row r="13" spans="1:18" ht="21.75" customHeight="1" thickBot="1">
      <c r="A13" s="18"/>
      <c r="C13" s="59"/>
      <c r="D13" s="60"/>
      <c r="E13" s="61">
        <f>SUM(E8:E12)</f>
        <v>30927449982190</v>
      </c>
      <c r="F13" s="60"/>
      <c r="G13" s="61">
        <f>SUM(G8:G12)</f>
        <v>27992813335242</v>
      </c>
      <c r="H13" s="60"/>
      <c r="I13" s="61">
        <f>SUM(I8:I12)</f>
        <v>2934636646948</v>
      </c>
      <c r="J13" s="60"/>
      <c r="K13" s="59"/>
      <c r="L13" s="60"/>
      <c r="M13" s="61">
        <f>SUM(M8:M12)</f>
        <v>30927449982190</v>
      </c>
      <c r="N13" s="60"/>
      <c r="O13" s="61">
        <f>SUM(O8:O12)</f>
        <v>19974955055862</v>
      </c>
      <c r="P13" s="60"/>
      <c r="Q13" s="61">
        <f>SUM(Q8:Q12)</f>
        <v>10952494926328</v>
      </c>
      <c r="R13" s="21"/>
    </row>
    <row r="14" spans="1:18" ht="13.5" thickTop="1">
      <c r="Q14" s="76"/>
      <c r="R14" s="21"/>
    </row>
    <row r="15" spans="1:18" ht="18.75">
      <c r="I15" s="21"/>
      <c r="Q15" s="12"/>
    </row>
    <row r="16" spans="1:18" ht="18.75">
      <c r="I16" s="21"/>
      <c r="Q16" s="12"/>
    </row>
    <row r="18" spans="9:9">
      <c r="I18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24"/>
  <sheetViews>
    <sheetView rightToLeft="1" view="pageBreakPreview" zoomScaleNormal="100" zoomScaleSheetLayoutView="100" workbookViewId="0">
      <selection activeCell="E17" sqref="E17:AA21"/>
    </sheetView>
  </sheetViews>
  <sheetFormatPr defaultRowHeight="12.75"/>
  <cols>
    <col min="1" max="1" width="49" customWidth="1"/>
    <col min="2" max="2" width="2.42578125" customWidth="1"/>
    <col min="3" max="3" width="10.57031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7.85546875" bestFit="1" customWidth="1"/>
    <col min="10" max="10" width="1.28515625" customWidth="1"/>
    <col min="11" max="11" width="18.5703125" bestFit="1" customWidth="1"/>
    <col min="12" max="12" width="1.28515625" customWidth="1"/>
    <col min="13" max="13" width="7.42578125" bestFit="1" customWidth="1"/>
    <col min="14" max="14" width="1.28515625" customWidth="1"/>
    <col min="15" max="15" width="16.85546875" bestFit="1" customWidth="1"/>
    <col min="16" max="16" width="1.28515625" customWidth="1"/>
    <col min="17" max="17" width="10.5703125" bestFit="1" customWidth="1"/>
    <col min="18" max="18" width="1.28515625" customWidth="1"/>
    <col min="19" max="19" width="16.140625" bestFit="1" customWidth="1"/>
    <col min="20" max="20" width="1.28515625" customWidth="1"/>
    <col min="21" max="21" width="19.5703125" bestFit="1" customWidth="1"/>
    <col min="22" max="22" width="1.28515625" customWidth="1"/>
    <col min="23" max="23" width="19.7109375" bestFit="1" customWidth="1"/>
    <col min="24" max="24" width="1.28515625" customWidth="1"/>
    <col min="25" max="25" width="18.28515625" bestFit="1" customWidth="1"/>
    <col min="26" max="26" width="0.2851562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8" ht="29.1" customHeight="1">
      <c r="A1" s="81" t="s">
        <v>79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8" ht="21.75" customHeight="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8" ht="21.75" customHeight="1">
      <c r="A3" s="81" t="s">
        <v>84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1:28" ht="14.45" customHeight="1">
      <c r="A4" s="80" t="s">
        <v>58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</row>
    <row r="5" spans="1:28" ht="14.45" customHeight="1">
      <c r="A5" s="80" t="s">
        <v>59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</row>
    <row r="6" spans="1:28" ht="14.45" customHeight="1">
      <c r="C6" s="82" t="s">
        <v>81</v>
      </c>
      <c r="D6" s="82"/>
      <c r="E6" s="82"/>
      <c r="F6" s="82"/>
      <c r="G6" s="82"/>
      <c r="I6" s="82" t="s">
        <v>1</v>
      </c>
      <c r="J6" s="82"/>
      <c r="K6" s="82"/>
      <c r="L6" s="82"/>
      <c r="M6" s="82"/>
      <c r="N6" s="82"/>
      <c r="O6" s="82"/>
      <c r="Q6" s="82" t="s">
        <v>85</v>
      </c>
      <c r="R6" s="82"/>
      <c r="S6" s="82"/>
      <c r="T6" s="82"/>
      <c r="U6" s="82"/>
      <c r="V6" s="82"/>
      <c r="W6" s="82"/>
      <c r="X6" s="82"/>
      <c r="Y6" s="82"/>
    </row>
    <row r="7" spans="1:28" ht="14.45" customHeight="1">
      <c r="C7" s="3"/>
      <c r="D7" s="3"/>
      <c r="E7" s="3"/>
      <c r="F7" s="3"/>
      <c r="G7" s="3"/>
      <c r="I7" s="79" t="s">
        <v>2</v>
      </c>
      <c r="J7" s="79"/>
      <c r="K7" s="79"/>
      <c r="L7" s="3"/>
      <c r="M7" s="79" t="s">
        <v>3</v>
      </c>
      <c r="N7" s="79"/>
      <c r="O7" s="79"/>
      <c r="Q7" s="3"/>
      <c r="R7" s="3"/>
      <c r="S7" s="3"/>
      <c r="T7" s="3"/>
      <c r="U7" s="3"/>
      <c r="V7" s="3"/>
      <c r="W7" s="3"/>
      <c r="X7" s="3"/>
      <c r="Y7" s="3"/>
    </row>
    <row r="8" spans="1:28" ht="14.45" customHeight="1">
      <c r="A8" s="2"/>
      <c r="C8" s="45" t="s">
        <v>4</v>
      </c>
      <c r="E8" s="45" t="s">
        <v>5</v>
      </c>
      <c r="G8" s="45" t="s">
        <v>6</v>
      </c>
      <c r="I8" s="46" t="s">
        <v>4</v>
      </c>
      <c r="J8" s="3"/>
      <c r="K8" s="46" t="s">
        <v>5</v>
      </c>
      <c r="M8" s="46" t="s">
        <v>4</v>
      </c>
      <c r="N8" s="3"/>
      <c r="O8" s="46" t="s">
        <v>7</v>
      </c>
      <c r="Q8" s="45" t="s">
        <v>4</v>
      </c>
      <c r="S8" s="45" t="s">
        <v>8</v>
      </c>
      <c r="U8" s="45" t="s">
        <v>5</v>
      </c>
      <c r="W8" s="45" t="s">
        <v>6</v>
      </c>
      <c r="Y8" s="2" t="s">
        <v>9</v>
      </c>
    </row>
    <row r="9" spans="1:28" ht="21.75" customHeight="1">
      <c r="A9" s="8" t="s">
        <v>15</v>
      </c>
      <c r="C9" s="59">
        <v>1095200</v>
      </c>
      <c r="D9" s="60"/>
      <c r="E9" s="59">
        <v>13893771658168</v>
      </c>
      <c r="F9" s="60"/>
      <c r="G9" s="59">
        <v>24733601292614.398</v>
      </c>
      <c r="H9" s="60"/>
      <c r="I9" s="59">
        <v>94500</v>
      </c>
      <c r="J9" s="60"/>
      <c r="K9" s="59">
        <v>2510142948067</v>
      </c>
      <c r="L9" s="60"/>
      <c r="M9" s="59">
        <v>-6700</v>
      </c>
      <c r="N9" s="60"/>
      <c r="O9" s="59">
        <v>177041286587</v>
      </c>
      <c r="P9" s="60"/>
      <c r="Q9" s="59">
        <v>1183000</v>
      </c>
      <c r="R9" s="60"/>
      <c r="S9" s="59">
        <v>25530050</v>
      </c>
      <c r="T9" s="60"/>
      <c r="U9" s="59">
        <v>16312402232508</v>
      </c>
      <c r="V9" s="60"/>
      <c r="W9" s="59">
        <v>30129564232040</v>
      </c>
      <c r="X9" s="50"/>
      <c r="Y9" s="65">
        <f>W9/30938664052581*100</f>
        <v>97.384826251172598</v>
      </c>
      <c r="AA9" s="21"/>
      <c r="AB9" s="21"/>
    </row>
    <row r="10" spans="1:28" ht="21.75" customHeight="1">
      <c r="A10" s="8" t="s">
        <v>86</v>
      </c>
      <c r="C10" s="59">
        <v>0</v>
      </c>
      <c r="D10" s="59"/>
      <c r="E10" s="59">
        <v>0</v>
      </c>
      <c r="F10" s="59"/>
      <c r="G10" s="59">
        <v>0</v>
      </c>
      <c r="H10" s="59"/>
      <c r="I10" s="59">
        <v>34025</v>
      </c>
      <c r="J10" s="59"/>
      <c r="K10" s="59">
        <v>457407757393.13</v>
      </c>
      <c r="L10" s="59"/>
      <c r="M10" s="59">
        <v>0</v>
      </c>
      <c r="N10" s="59"/>
      <c r="O10" s="59">
        <v>0</v>
      </c>
      <c r="P10" s="59"/>
      <c r="Q10" s="59">
        <v>34025</v>
      </c>
      <c r="R10" s="59"/>
      <c r="S10" s="59">
        <v>10780000</v>
      </c>
      <c r="T10" s="59"/>
      <c r="U10" s="59">
        <v>457407757390</v>
      </c>
      <c r="V10" s="59"/>
      <c r="W10" s="59">
        <v>366459389450</v>
      </c>
      <c r="X10" s="50"/>
      <c r="Y10" s="65">
        <f t="shared" ref="Y10:Y15" si="0">W10/30938664052581*100</f>
        <v>1.1844706313989302</v>
      </c>
      <c r="AA10" s="21"/>
      <c r="AB10" s="21"/>
    </row>
    <row r="11" spans="1:28" ht="21.75" customHeight="1">
      <c r="A11" s="8" t="s">
        <v>87</v>
      </c>
      <c r="C11" s="59">
        <v>0</v>
      </c>
      <c r="D11" s="60"/>
      <c r="E11" s="59">
        <v>0</v>
      </c>
      <c r="F11" s="60"/>
      <c r="G11" s="59">
        <v>0</v>
      </c>
      <c r="H11" s="60"/>
      <c r="I11" s="59">
        <v>16520</v>
      </c>
      <c r="J11" s="60"/>
      <c r="K11" s="59">
        <v>184032911198.94</v>
      </c>
      <c r="L11" s="60"/>
      <c r="M11" s="59">
        <v>0</v>
      </c>
      <c r="N11" s="60"/>
      <c r="O11" s="59">
        <v>0</v>
      </c>
      <c r="P11" s="60"/>
      <c r="Q11" s="59">
        <v>16520</v>
      </c>
      <c r="R11" s="60"/>
      <c r="S11" s="59">
        <v>11000000</v>
      </c>
      <c r="T11" s="60"/>
      <c r="U11" s="59">
        <v>184032911195</v>
      </c>
      <c r="V11" s="60"/>
      <c r="W11" s="59">
        <v>181556452000</v>
      </c>
      <c r="X11" s="50"/>
      <c r="Y11" s="65">
        <f>W11/30938664052581*100</f>
        <v>0.58682705785692768</v>
      </c>
      <c r="AA11" s="21"/>
      <c r="AB11" s="21"/>
    </row>
    <row r="12" spans="1:28" ht="21.75" customHeight="1">
      <c r="A12" s="8" t="s">
        <v>88</v>
      </c>
      <c r="C12" s="59">
        <v>0</v>
      </c>
      <c r="D12" s="60"/>
      <c r="E12" s="59">
        <v>0</v>
      </c>
      <c r="F12" s="60"/>
      <c r="G12" s="59">
        <v>0</v>
      </c>
      <c r="H12" s="60"/>
      <c r="I12" s="59">
        <v>15520</v>
      </c>
      <c r="J12" s="60"/>
      <c r="K12" s="59">
        <v>163301554116.14301</v>
      </c>
      <c r="L12" s="60"/>
      <c r="M12" s="59">
        <v>0</v>
      </c>
      <c r="N12" s="60"/>
      <c r="O12" s="59">
        <v>0</v>
      </c>
      <c r="P12" s="60"/>
      <c r="Q12" s="59">
        <v>15520</v>
      </c>
      <c r="R12" s="60"/>
      <c r="S12" s="59">
        <v>12000000</v>
      </c>
      <c r="T12" s="60"/>
      <c r="U12" s="59">
        <v>163301554114</v>
      </c>
      <c r="V12" s="60"/>
      <c r="W12" s="59">
        <v>186072384000</v>
      </c>
      <c r="X12" s="50"/>
      <c r="Y12" s="65">
        <f t="shared" si="0"/>
        <v>0.60142346057271745</v>
      </c>
      <c r="AA12" s="21"/>
      <c r="AB12" s="21"/>
    </row>
    <row r="13" spans="1:28" ht="21.75" customHeight="1">
      <c r="A13" s="8" t="s">
        <v>89</v>
      </c>
      <c r="C13" s="59">
        <v>0</v>
      </c>
      <c r="D13" s="60"/>
      <c r="E13" s="59">
        <v>0</v>
      </c>
      <c r="F13" s="60"/>
      <c r="G13" s="59">
        <v>0</v>
      </c>
      <c r="H13" s="60"/>
      <c r="I13" s="59">
        <v>5805</v>
      </c>
      <c r="J13" s="60"/>
      <c r="K13" s="59">
        <v>51900766214.993797</v>
      </c>
      <c r="L13" s="60"/>
      <c r="M13" s="59">
        <v>0</v>
      </c>
      <c r="N13" s="60"/>
      <c r="O13" s="59">
        <v>0</v>
      </c>
      <c r="P13" s="60"/>
      <c r="Q13" s="59">
        <v>5805</v>
      </c>
      <c r="R13" s="60"/>
      <c r="S13" s="59">
        <v>10999999</v>
      </c>
      <c r="T13" s="60"/>
      <c r="U13" s="59">
        <v>51900766213</v>
      </c>
      <c r="V13" s="60"/>
      <c r="W13" s="59">
        <v>63797524700.224503</v>
      </c>
      <c r="X13" s="50"/>
      <c r="Y13" s="65">
        <f t="shared" si="0"/>
        <v>0.20620646254084882</v>
      </c>
      <c r="AA13" s="21"/>
      <c r="AB13" s="21"/>
    </row>
    <row r="14" spans="1:28" ht="21.75" customHeight="1">
      <c r="A14" s="8" t="s">
        <v>90</v>
      </c>
      <c r="C14" s="59">
        <v>0</v>
      </c>
      <c r="D14" s="60"/>
      <c r="E14" s="59">
        <v>0</v>
      </c>
      <c r="F14" s="60"/>
      <c r="G14" s="59">
        <v>0</v>
      </c>
      <c r="H14" s="60"/>
      <c r="I14" s="59">
        <v>7000</v>
      </c>
      <c r="J14" s="60"/>
      <c r="K14" s="59">
        <v>35644304420.900002</v>
      </c>
      <c r="L14" s="60"/>
      <c r="M14" s="59">
        <v>-7000</v>
      </c>
      <c r="N14" s="60"/>
      <c r="O14" s="59">
        <v>38198140755</v>
      </c>
      <c r="P14" s="60"/>
      <c r="Q14" s="59">
        <v>0</v>
      </c>
      <c r="R14" s="60"/>
      <c r="S14" s="59">
        <v>0</v>
      </c>
      <c r="T14" s="60"/>
      <c r="U14" s="59">
        <v>0</v>
      </c>
      <c r="V14" s="60"/>
      <c r="W14" s="59">
        <v>0</v>
      </c>
      <c r="X14" s="50"/>
      <c r="Y14" s="65">
        <f t="shared" si="0"/>
        <v>0</v>
      </c>
      <c r="AA14" s="21"/>
      <c r="AB14" s="21"/>
    </row>
    <row r="15" spans="1:28" ht="21.75" customHeight="1">
      <c r="A15" s="8" t="s">
        <v>39</v>
      </c>
      <c r="C15" s="59">
        <v>0</v>
      </c>
      <c r="D15" s="60"/>
      <c r="E15" s="59">
        <v>0</v>
      </c>
      <c r="F15" s="60"/>
      <c r="G15" s="59">
        <v>0</v>
      </c>
      <c r="H15" s="60"/>
      <c r="I15" s="59">
        <v>70</v>
      </c>
      <c r="J15" s="60"/>
      <c r="K15" s="59">
        <v>145427591912</v>
      </c>
      <c r="L15" s="60"/>
      <c r="M15" s="59">
        <v>-70</v>
      </c>
      <c r="N15" s="60"/>
      <c r="O15" s="59">
        <v>137481393104.00101</v>
      </c>
      <c r="P15" s="60"/>
      <c r="Q15" s="59">
        <v>0</v>
      </c>
      <c r="R15" s="60"/>
      <c r="S15" s="59">
        <v>0</v>
      </c>
      <c r="T15" s="60"/>
      <c r="U15" s="59">
        <v>0</v>
      </c>
      <c r="V15" s="60"/>
      <c r="W15" s="59">
        <v>0</v>
      </c>
      <c r="X15" s="50"/>
      <c r="Y15" s="65">
        <f t="shared" si="0"/>
        <v>0</v>
      </c>
      <c r="AA15" s="21"/>
      <c r="AB15" s="21"/>
    </row>
    <row r="16" spans="1:28" ht="21.75" customHeight="1" thickBot="1">
      <c r="A16" s="19"/>
      <c r="B16" s="20"/>
      <c r="C16" s="59"/>
      <c r="D16" s="60"/>
      <c r="E16" s="61">
        <f>SUM(E9:E15)</f>
        <v>13893771658168</v>
      </c>
      <c r="F16" s="60"/>
      <c r="G16" s="61">
        <f>SUM(G9:G15)</f>
        <v>24733601292614.398</v>
      </c>
      <c r="H16" s="60"/>
      <c r="I16" s="59"/>
      <c r="J16" s="60"/>
      <c r="K16" s="61">
        <f>SUM(K9:K15)</f>
        <v>3547857833323.1064</v>
      </c>
      <c r="L16" s="60"/>
      <c r="M16" s="59"/>
      <c r="N16" s="60"/>
      <c r="O16" s="61">
        <f>SUM(O9:O15)</f>
        <v>352720820446.00098</v>
      </c>
      <c r="P16" s="60"/>
      <c r="Q16" s="59"/>
      <c r="R16" s="60"/>
      <c r="S16" s="59"/>
      <c r="T16" s="60"/>
      <c r="U16" s="61">
        <f>SUM(U9:U15)</f>
        <v>17169045221420</v>
      </c>
      <c r="V16" s="60"/>
      <c r="W16" s="61">
        <f>SUM(W9:W15)</f>
        <v>30927449982190.223</v>
      </c>
      <c r="X16" s="50"/>
      <c r="Y16" s="71">
        <f>SUM(Y9:Y15)</f>
        <v>99.96375386354201</v>
      </c>
    </row>
    <row r="17" spans="5:23" ht="13.5" thickTop="1">
      <c r="U17" s="21"/>
      <c r="W17" s="21"/>
    </row>
    <row r="18" spans="5:23">
      <c r="E18" s="38"/>
      <c r="G18" s="38"/>
      <c r="U18" s="21"/>
      <c r="W18" s="21"/>
    </row>
    <row r="19" spans="5:23">
      <c r="U19" s="21"/>
      <c r="W19" s="21"/>
    </row>
    <row r="20" spans="5:23">
      <c r="U20" s="21"/>
      <c r="W20" s="38"/>
    </row>
    <row r="21" spans="5:23">
      <c r="U21" s="21"/>
      <c r="W21" s="44"/>
    </row>
    <row r="24" spans="5:23">
      <c r="K24" s="38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1FA0-B951-43E9-B6C5-D9E42E8D257F}">
  <sheetPr>
    <tabColor rgb="FF92D050"/>
    <pageSetUpPr fitToPage="1"/>
  </sheetPr>
  <dimension ref="A1:AW11"/>
  <sheetViews>
    <sheetView rightToLeft="1" view="pageBreakPreview" zoomScale="96" zoomScaleNormal="100" zoomScaleSheetLayoutView="96" workbookViewId="0">
      <selection activeCell="AK21" sqref="AK21:AK22"/>
    </sheetView>
  </sheetViews>
  <sheetFormatPr defaultRowHeight="12.75"/>
  <cols>
    <col min="1" max="1" width="81.28515625" style="24" bestFit="1" customWidth="1"/>
    <col min="2" max="2" width="1.28515625" style="24" customWidth="1"/>
    <col min="3" max="3" width="9.42578125" style="24" bestFit="1" customWidth="1"/>
    <col min="4" max="4" width="1.28515625" style="24" customWidth="1"/>
    <col min="5" max="5" width="10.5703125" style="24" bestFit="1" customWidth="1"/>
    <col min="6" max="6" width="1.28515625" style="24" customWidth="1"/>
    <col min="7" max="7" width="6.42578125" style="24" customWidth="1"/>
    <col min="8" max="8" width="1.28515625" style="24" customWidth="1"/>
    <col min="9" max="9" width="5.140625" style="24" customWidth="1"/>
    <col min="10" max="10" width="1.28515625" style="24" customWidth="1"/>
    <col min="11" max="11" width="9.140625" style="24" customWidth="1"/>
    <col min="12" max="12" width="1.28515625" style="24" customWidth="1"/>
    <col min="13" max="13" width="2.5703125" style="24" customWidth="1"/>
    <col min="14" max="14" width="1.28515625" style="24" customWidth="1"/>
    <col min="15" max="15" width="9.140625" style="24" customWidth="1"/>
    <col min="16" max="16" width="1.28515625" style="24" customWidth="1"/>
    <col min="17" max="17" width="2.5703125" style="24" customWidth="1"/>
    <col min="18" max="20" width="1.28515625" style="24" customWidth="1"/>
    <col min="21" max="21" width="6.42578125" style="24" customWidth="1"/>
    <col min="22" max="22" width="1.28515625" style="24" customWidth="1"/>
    <col min="23" max="23" width="2.5703125" style="24" customWidth="1"/>
    <col min="24" max="26" width="1.28515625" style="24" customWidth="1"/>
    <col min="27" max="27" width="6.42578125" style="24" customWidth="1"/>
    <col min="28" max="28" width="1.28515625" style="24" customWidth="1"/>
    <col min="29" max="29" width="2.5703125" style="24" customWidth="1"/>
    <col min="30" max="32" width="1.28515625" style="24" customWidth="1"/>
    <col min="33" max="33" width="9.140625" style="24" customWidth="1"/>
    <col min="34" max="34" width="1.28515625" style="24" customWidth="1"/>
    <col min="35" max="35" width="2.5703125" style="24" customWidth="1"/>
    <col min="36" max="36" width="1.28515625" style="24" customWidth="1"/>
    <col min="37" max="37" width="9.140625" style="24" customWidth="1"/>
    <col min="38" max="38" width="1.28515625" style="24" customWidth="1"/>
    <col min="39" max="39" width="5.7109375" style="24" customWidth="1"/>
    <col min="40" max="40" width="1.28515625" style="24" customWidth="1"/>
    <col min="41" max="41" width="9.140625" style="24" customWidth="1"/>
    <col min="42" max="42" width="1.28515625" style="24" customWidth="1"/>
    <col min="43" max="43" width="2.5703125" style="24" customWidth="1"/>
    <col min="44" max="44" width="1.28515625" style="24" customWidth="1"/>
    <col min="45" max="45" width="11.7109375" style="24" customWidth="1"/>
    <col min="46" max="47" width="1.28515625" style="24" customWidth="1"/>
    <col min="48" max="48" width="10.42578125" style="24" bestFit="1" customWidth="1"/>
    <col min="49" max="49" width="7.7109375" style="24" customWidth="1"/>
    <col min="50" max="50" width="0.28515625" style="24" customWidth="1"/>
    <col min="51" max="16384" width="9.140625" style="24"/>
  </cols>
  <sheetData>
    <row r="1" spans="1:49" ht="29.1" customHeight="1">
      <c r="A1" s="91" t="s">
        <v>79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</row>
    <row r="2" spans="1:49" ht="21.75" customHeight="1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1:49" ht="21.75" customHeight="1">
      <c r="A3" s="91" t="s">
        <v>84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</row>
    <row r="4" spans="1:49" ht="14.45" customHeight="1">
      <c r="A4" s="27" t="s">
        <v>99</v>
      </c>
      <c r="C4" s="31" t="s">
        <v>98</v>
      </c>
      <c r="D4" s="26"/>
      <c r="E4" s="31" t="s">
        <v>97</v>
      </c>
      <c r="F4" s="26"/>
      <c r="G4" s="90" t="s">
        <v>96</v>
      </c>
      <c r="H4" s="90"/>
      <c r="I4" s="90"/>
      <c r="J4" s="26"/>
      <c r="K4" s="90" t="s">
        <v>95</v>
      </c>
      <c r="L4" s="90"/>
      <c r="M4" s="90"/>
      <c r="N4" s="26"/>
      <c r="O4" s="90" t="s">
        <v>94</v>
      </c>
      <c r="P4" s="90"/>
      <c r="Q4" s="90"/>
      <c r="R4" s="26"/>
      <c r="S4" s="90" t="s">
        <v>17</v>
      </c>
      <c r="T4" s="90"/>
      <c r="U4" s="90"/>
      <c r="V4" s="90"/>
      <c r="W4" s="90"/>
      <c r="Y4" s="90" t="s">
        <v>98</v>
      </c>
      <c r="Z4" s="90"/>
      <c r="AA4" s="90"/>
      <c r="AB4" s="90"/>
      <c r="AC4" s="90"/>
      <c r="AD4" s="26"/>
      <c r="AE4" s="90" t="s">
        <v>97</v>
      </c>
      <c r="AF4" s="90"/>
      <c r="AG4" s="90"/>
      <c r="AH4" s="90"/>
      <c r="AI4" s="90"/>
      <c r="AJ4" s="26"/>
      <c r="AK4" s="90" t="s">
        <v>96</v>
      </c>
      <c r="AL4" s="90"/>
      <c r="AM4" s="90"/>
      <c r="AN4" s="26"/>
      <c r="AO4" s="90" t="s">
        <v>95</v>
      </c>
      <c r="AP4" s="90"/>
      <c r="AQ4" s="90"/>
      <c r="AR4" s="26"/>
      <c r="AS4" s="90" t="s">
        <v>94</v>
      </c>
      <c r="AT4" s="90"/>
      <c r="AU4" s="26"/>
      <c r="AV4" s="31" t="s">
        <v>17</v>
      </c>
    </row>
    <row r="5" spans="1:49" ht="21.75" customHeight="1">
      <c r="A5" s="48" t="s">
        <v>86</v>
      </c>
      <c r="C5" s="48" t="s">
        <v>93</v>
      </c>
      <c r="E5" s="48" t="s">
        <v>91</v>
      </c>
      <c r="G5" s="86" t="s">
        <v>91</v>
      </c>
      <c r="H5" s="86"/>
      <c r="I5" s="86"/>
      <c r="K5" s="88">
        <v>0</v>
      </c>
      <c r="L5" s="88"/>
      <c r="M5" s="88"/>
      <c r="O5" s="88">
        <v>0</v>
      </c>
      <c r="P5" s="88"/>
      <c r="Q5" s="88"/>
      <c r="S5" s="86" t="s">
        <v>91</v>
      </c>
      <c r="T5" s="86"/>
      <c r="U5" s="86"/>
      <c r="V5" s="86"/>
      <c r="W5" s="86"/>
      <c r="Y5" s="86" t="s">
        <v>93</v>
      </c>
      <c r="Z5" s="86"/>
      <c r="AA5" s="86"/>
      <c r="AB5" s="86"/>
      <c r="AC5" s="86"/>
      <c r="AE5" s="86" t="s">
        <v>92</v>
      </c>
      <c r="AF5" s="86"/>
      <c r="AG5" s="86"/>
      <c r="AH5" s="86"/>
      <c r="AI5" s="86"/>
      <c r="AK5" s="86" t="s">
        <v>91</v>
      </c>
      <c r="AL5" s="86"/>
      <c r="AM5" s="86"/>
      <c r="AO5" s="87">
        <v>34025</v>
      </c>
      <c r="AP5" s="87"/>
      <c r="AQ5" s="87"/>
      <c r="AS5" s="88">
        <v>0</v>
      </c>
      <c r="AT5" s="88"/>
      <c r="AV5" s="48" t="s">
        <v>91</v>
      </c>
    </row>
    <row r="6" spans="1:49" ht="21.75" customHeight="1">
      <c r="A6" s="47" t="s">
        <v>87</v>
      </c>
      <c r="C6" s="47" t="s">
        <v>93</v>
      </c>
      <c r="E6" s="47" t="s">
        <v>91</v>
      </c>
      <c r="G6" s="83" t="s">
        <v>91</v>
      </c>
      <c r="H6" s="83"/>
      <c r="I6" s="83"/>
      <c r="K6" s="85">
        <v>0</v>
      </c>
      <c r="L6" s="85"/>
      <c r="M6" s="85"/>
      <c r="O6" s="85">
        <v>0</v>
      </c>
      <c r="P6" s="85"/>
      <c r="Q6" s="85"/>
      <c r="S6" s="83" t="s">
        <v>91</v>
      </c>
      <c r="T6" s="83"/>
      <c r="U6" s="83"/>
      <c r="V6" s="83"/>
      <c r="W6" s="83"/>
      <c r="Y6" s="83" t="s">
        <v>93</v>
      </c>
      <c r="Z6" s="83"/>
      <c r="AA6" s="83"/>
      <c r="AB6" s="83"/>
      <c r="AC6" s="83"/>
      <c r="AE6" s="83" t="s">
        <v>92</v>
      </c>
      <c r="AF6" s="83"/>
      <c r="AG6" s="83"/>
      <c r="AH6" s="83"/>
      <c r="AI6" s="83"/>
      <c r="AK6" s="83" t="s">
        <v>91</v>
      </c>
      <c r="AL6" s="83"/>
      <c r="AM6" s="83"/>
      <c r="AO6" s="84">
        <v>16520</v>
      </c>
      <c r="AP6" s="84"/>
      <c r="AQ6" s="84"/>
      <c r="AS6" s="85">
        <v>0</v>
      </c>
      <c r="AT6" s="85"/>
      <c r="AV6" s="47" t="s">
        <v>91</v>
      </c>
    </row>
    <row r="7" spans="1:49" ht="21.75" customHeight="1">
      <c r="A7" s="47" t="s">
        <v>88</v>
      </c>
      <c r="C7" s="47" t="s">
        <v>93</v>
      </c>
      <c r="E7" s="47" t="s">
        <v>91</v>
      </c>
      <c r="G7" s="83" t="s">
        <v>91</v>
      </c>
      <c r="H7" s="83"/>
      <c r="I7" s="83"/>
      <c r="K7" s="85">
        <v>0</v>
      </c>
      <c r="L7" s="85"/>
      <c r="M7" s="85"/>
      <c r="O7" s="85">
        <v>0</v>
      </c>
      <c r="P7" s="85"/>
      <c r="Q7" s="85"/>
      <c r="S7" s="83" t="s">
        <v>91</v>
      </c>
      <c r="T7" s="83"/>
      <c r="U7" s="83"/>
      <c r="V7" s="83"/>
      <c r="W7" s="83"/>
      <c r="Y7" s="83" t="s">
        <v>93</v>
      </c>
      <c r="Z7" s="83"/>
      <c r="AA7" s="83"/>
      <c r="AB7" s="83"/>
      <c r="AC7" s="83"/>
      <c r="AE7" s="83" t="s">
        <v>92</v>
      </c>
      <c r="AF7" s="83"/>
      <c r="AG7" s="83"/>
      <c r="AH7" s="83"/>
      <c r="AI7" s="83"/>
      <c r="AK7" s="83" t="s">
        <v>91</v>
      </c>
      <c r="AL7" s="83"/>
      <c r="AM7" s="83"/>
      <c r="AO7" s="84">
        <v>15520</v>
      </c>
      <c r="AP7" s="84"/>
      <c r="AQ7" s="84"/>
      <c r="AS7" s="85">
        <v>0</v>
      </c>
      <c r="AT7" s="85"/>
      <c r="AV7" s="47" t="s">
        <v>91</v>
      </c>
    </row>
    <row r="8" spans="1:49" ht="21.75" customHeight="1">
      <c r="A8" s="47" t="s">
        <v>89</v>
      </c>
      <c r="C8" s="47" t="s">
        <v>93</v>
      </c>
      <c r="E8" s="47" t="s">
        <v>91</v>
      </c>
      <c r="G8" s="83" t="s">
        <v>91</v>
      </c>
      <c r="H8" s="83"/>
      <c r="I8" s="83"/>
      <c r="K8" s="85">
        <v>0</v>
      </c>
      <c r="L8" s="85"/>
      <c r="M8" s="85"/>
      <c r="O8" s="85">
        <v>0</v>
      </c>
      <c r="P8" s="85"/>
      <c r="Q8" s="85"/>
      <c r="S8" s="83" t="s">
        <v>91</v>
      </c>
      <c r="T8" s="83"/>
      <c r="U8" s="83"/>
      <c r="V8" s="83"/>
      <c r="W8" s="83"/>
      <c r="Y8" s="83" t="s">
        <v>93</v>
      </c>
      <c r="Z8" s="83"/>
      <c r="AA8" s="83"/>
      <c r="AB8" s="83"/>
      <c r="AC8" s="83"/>
      <c r="AE8" s="83" t="s">
        <v>92</v>
      </c>
      <c r="AF8" s="83"/>
      <c r="AG8" s="83"/>
      <c r="AH8" s="83"/>
      <c r="AI8" s="83"/>
      <c r="AK8" s="83" t="s">
        <v>91</v>
      </c>
      <c r="AL8" s="83"/>
      <c r="AM8" s="83"/>
      <c r="AO8" s="84">
        <v>5805</v>
      </c>
      <c r="AP8" s="84"/>
      <c r="AQ8" s="84"/>
      <c r="AS8" s="85">
        <v>0</v>
      </c>
      <c r="AT8" s="85"/>
      <c r="AV8" s="47" t="s">
        <v>91</v>
      </c>
    </row>
    <row r="9" spans="1:49" ht="21.75" customHeight="1">
      <c r="AO9" s="89"/>
      <c r="AP9" s="89"/>
      <c r="AQ9" s="89"/>
    </row>
    <row r="10" spans="1:49" ht="21.75" customHeight="1"/>
    <row r="11" spans="1:49" ht="21.75" customHeight="1"/>
  </sheetData>
  <mergeCells count="49">
    <mergeCell ref="AO9:AQ9"/>
    <mergeCell ref="AK4:AM4"/>
    <mergeCell ref="AO4:AQ4"/>
    <mergeCell ref="AS4:AT4"/>
    <mergeCell ref="A1:AW1"/>
    <mergeCell ref="A2:AW2"/>
    <mergeCell ref="A3:AW3"/>
    <mergeCell ref="G4:I4"/>
    <mergeCell ref="K4:M4"/>
    <mergeCell ref="O4:Q4"/>
    <mergeCell ref="S4:W4"/>
    <mergeCell ref="Y4:AC4"/>
    <mergeCell ref="AE4:AI4"/>
    <mergeCell ref="AK6:AM6"/>
    <mergeCell ref="AO6:AQ6"/>
    <mergeCell ref="AS6:AT6"/>
    <mergeCell ref="AE5:AI5"/>
    <mergeCell ref="AK5:AM5"/>
    <mergeCell ref="AO5:AQ5"/>
    <mergeCell ref="AS5:AT5"/>
    <mergeCell ref="G6:I6"/>
    <mergeCell ref="K6:M6"/>
    <mergeCell ref="O6:Q6"/>
    <mergeCell ref="S6:W6"/>
    <mergeCell ref="Y6:AC6"/>
    <mergeCell ref="AE6:AI6"/>
    <mergeCell ref="G5:I5"/>
    <mergeCell ref="K5:M5"/>
    <mergeCell ref="O5:Q5"/>
    <mergeCell ref="S5:W5"/>
    <mergeCell ref="Y5:AC5"/>
    <mergeCell ref="AE7:AI7"/>
    <mergeCell ref="AK7:AM7"/>
    <mergeCell ref="AO7:AQ7"/>
    <mergeCell ref="AS7:AT7"/>
    <mergeCell ref="G8:I8"/>
    <mergeCell ref="K8:M8"/>
    <mergeCell ref="O8:Q8"/>
    <mergeCell ref="S8:W8"/>
    <mergeCell ref="G7:I7"/>
    <mergeCell ref="K7:M7"/>
    <mergeCell ref="O7:Q7"/>
    <mergeCell ref="S7:W7"/>
    <mergeCell ref="Y7:AC7"/>
    <mergeCell ref="Y8:AC8"/>
    <mergeCell ref="AE8:AI8"/>
    <mergeCell ref="AK8:AM8"/>
    <mergeCell ref="AO8:AQ8"/>
    <mergeCell ref="AS8:AT8"/>
  </mergeCells>
  <pageMargins left="0.39" right="0.39" top="0.39" bottom="0.39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zoomScale="136" zoomScaleNormal="100" zoomScaleSheetLayoutView="136" workbookViewId="0">
      <selection activeCell="I12" sqref="A12:I15"/>
    </sheetView>
  </sheetViews>
  <sheetFormatPr defaultRowHeight="12.75"/>
  <cols>
    <col min="1" max="1" width="35" customWidth="1"/>
    <col min="2" max="2" width="1.28515625" customWidth="1"/>
    <col min="3" max="3" width="15.14062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14.42578125" bestFit="1" customWidth="1"/>
    <col min="10" max="10" width="1.28515625" customWidth="1"/>
    <col min="11" max="11" width="18.28515625" bestFit="1" customWidth="1"/>
  </cols>
  <sheetData>
    <row r="1" spans="1:11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1.75" customHeight="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14.45" customHeight="1"/>
    <row r="5" spans="1:11" ht="14.45" customHeight="1">
      <c r="A5" s="80" t="s">
        <v>60</v>
      </c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14.45" customHeight="1">
      <c r="C6" s="2" t="s">
        <v>81</v>
      </c>
      <c r="E6" s="82" t="s">
        <v>1</v>
      </c>
      <c r="F6" s="82"/>
      <c r="G6" s="82"/>
      <c r="I6" s="92" t="s">
        <v>85</v>
      </c>
      <c r="J6" s="92"/>
      <c r="K6" s="92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18</v>
      </c>
      <c r="E8" s="2" t="s">
        <v>19</v>
      </c>
      <c r="G8" s="2" t="s">
        <v>20</v>
      </c>
      <c r="I8" s="2" t="s">
        <v>18</v>
      </c>
      <c r="K8" s="2" t="s">
        <v>9</v>
      </c>
    </row>
    <row r="9" spans="1:11" ht="21.75" customHeight="1">
      <c r="A9" s="9" t="s">
        <v>21</v>
      </c>
      <c r="C9" s="62">
        <v>3840871206</v>
      </c>
      <c r="D9" s="63"/>
      <c r="E9" s="62">
        <v>4454475489593</v>
      </c>
      <c r="F9" s="63"/>
      <c r="G9" s="62">
        <v>4454240900007</v>
      </c>
      <c r="H9" s="63"/>
      <c r="I9" s="64">
        <v>4075460792</v>
      </c>
      <c r="J9" s="50"/>
      <c r="K9" s="65">
        <f>I9/30938664052581*100</f>
        <v>1.3172710964745139E-2</v>
      </c>
    </row>
    <row r="10" spans="1:11" ht="21.75" customHeight="1">
      <c r="A10" s="8" t="s">
        <v>22</v>
      </c>
      <c r="C10" s="64">
        <v>414508939</v>
      </c>
      <c r="D10" s="63"/>
      <c r="E10" s="64">
        <v>0</v>
      </c>
      <c r="F10" s="63"/>
      <c r="G10" s="64">
        <v>414508939</v>
      </c>
      <c r="H10" s="63"/>
      <c r="I10" s="64">
        <f>C10+E10-G10</f>
        <v>0</v>
      </c>
      <c r="J10" s="50"/>
      <c r="K10" s="65">
        <f>I10/30938664052581*100</f>
        <v>0</v>
      </c>
    </row>
    <row r="11" spans="1:11" ht="21.75" customHeight="1" thickBot="1">
      <c r="A11" s="20"/>
      <c r="C11" s="70">
        <f>SUM(C9:C10)</f>
        <v>4255380145</v>
      </c>
      <c r="D11" s="63"/>
      <c r="E11" s="70">
        <f>SUM(E9:E10)</f>
        <v>4454475489593</v>
      </c>
      <c r="F11" s="63"/>
      <c r="G11" s="70">
        <f>SUM(G9:G10)</f>
        <v>4454655408946</v>
      </c>
      <c r="H11" s="63"/>
      <c r="I11" s="66">
        <f>SUM(I9:I10)</f>
        <v>4075460792</v>
      </c>
      <c r="J11" s="50"/>
      <c r="K11" s="67">
        <f>SUM(K9:K10)</f>
        <v>1.3172710964745139E-2</v>
      </c>
    </row>
    <row r="12" spans="1:11" ht="13.5" thickTop="1">
      <c r="G12" s="21"/>
      <c r="I12" s="21"/>
    </row>
    <row r="13" spans="1:11">
      <c r="C13" s="21"/>
      <c r="I13" s="21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15"/>
  <sheetViews>
    <sheetView rightToLeft="1" view="pageBreakPreview" zoomScale="118" zoomScaleNormal="100" zoomScaleSheetLayoutView="118" workbookViewId="0">
      <selection activeCell="F13" sqref="F13:F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3" width="18" bestFit="1" customWidth="1"/>
  </cols>
  <sheetData>
    <row r="1" spans="1:13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  <c r="J1" s="81"/>
    </row>
    <row r="2" spans="1:13" ht="21.7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</row>
    <row r="3" spans="1:13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14.45" customHeight="1"/>
    <row r="5" spans="1:13" ht="29.1" customHeight="1">
      <c r="A5" s="1" t="s">
        <v>24</v>
      </c>
      <c r="B5" s="96" t="s">
        <v>25</v>
      </c>
      <c r="C5" s="96"/>
      <c r="D5" s="96"/>
      <c r="E5" s="96"/>
      <c r="F5" s="96"/>
      <c r="G5" s="96"/>
      <c r="H5" s="96"/>
      <c r="I5" s="96"/>
      <c r="J5" s="96"/>
    </row>
    <row r="6" spans="1:13" ht="14.45" customHeight="1"/>
    <row r="7" spans="1:13" ht="14.45" customHeight="1">
      <c r="A7" s="82" t="s">
        <v>26</v>
      </c>
      <c r="B7" s="82"/>
      <c r="D7" s="2" t="s">
        <v>27</v>
      </c>
      <c r="F7" s="2" t="s">
        <v>18</v>
      </c>
      <c r="H7" s="2" t="s">
        <v>28</v>
      </c>
      <c r="J7" s="2" t="s">
        <v>29</v>
      </c>
    </row>
    <row r="8" spans="1:13" ht="21.75" customHeight="1">
      <c r="A8" s="94" t="s">
        <v>30</v>
      </c>
      <c r="B8" s="94"/>
      <c r="C8" s="14"/>
      <c r="D8" s="36" t="s">
        <v>31</v>
      </c>
      <c r="E8" s="14"/>
      <c r="F8" s="11">
        <f>'درآمد سرمایه گذاری در سهام'!S28</f>
        <v>13347518806205</v>
      </c>
      <c r="G8" s="14"/>
      <c r="H8" s="15">
        <f>F8/F11*100</f>
        <v>99.980601103051114</v>
      </c>
      <c r="I8" s="14"/>
      <c r="J8" s="16">
        <f>F8/30938664052581*100</f>
        <v>43.141871877598113</v>
      </c>
      <c r="L8" s="21"/>
      <c r="M8" s="21"/>
    </row>
    <row r="9" spans="1:13" ht="21.75" customHeight="1">
      <c r="A9" s="95" t="s">
        <v>33</v>
      </c>
      <c r="B9" s="95"/>
      <c r="C9" s="14"/>
      <c r="D9" s="37" t="s">
        <v>32</v>
      </c>
      <c r="E9" s="14"/>
      <c r="F9" s="12">
        <f>'درآمد سپرده بانکی'!G10</f>
        <v>111663855</v>
      </c>
      <c r="G9" s="14"/>
      <c r="H9" s="16">
        <f>F9/F11*100</f>
        <v>8.3642656784974241E-4</v>
      </c>
      <c r="I9" s="14"/>
      <c r="J9" s="16">
        <f t="shared" ref="J9:J10" si="0">F9/30938664052581*100</f>
        <v>3.6092009276879122E-4</v>
      </c>
      <c r="L9" s="21"/>
      <c r="M9" s="21"/>
    </row>
    <row r="10" spans="1:13" ht="21.75" customHeight="1">
      <c r="A10" s="95" t="s">
        <v>74</v>
      </c>
      <c r="B10" s="95"/>
      <c r="C10" s="14"/>
      <c r="D10" s="37" t="s">
        <v>75</v>
      </c>
      <c r="E10" s="14"/>
      <c r="F10" s="12">
        <f>'سایر درآمدها'!F9</f>
        <v>2478109951</v>
      </c>
      <c r="G10" s="14"/>
      <c r="H10" s="16">
        <f>F10/F11*100</f>
        <v>1.856247038103085E-2</v>
      </c>
      <c r="I10" s="14"/>
      <c r="J10" s="16">
        <f t="shared" si="0"/>
        <v>8.0097509924423136E-3</v>
      </c>
      <c r="L10" s="38"/>
      <c r="M10" s="38"/>
    </row>
    <row r="11" spans="1:13" ht="21.75" customHeight="1" thickBot="1">
      <c r="A11" s="93"/>
      <c r="B11" s="93"/>
      <c r="C11" s="14"/>
      <c r="D11" s="12"/>
      <c r="E11" s="14"/>
      <c r="F11" s="13">
        <f>SUM(F8:F10)</f>
        <v>13350108580011</v>
      </c>
      <c r="G11" s="14"/>
      <c r="H11" s="17">
        <f>SUM(H8:H10)</f>
        <v>99.999999999999986</v>
      </c>
      <c r="I11" s="14"/>
      <c r="J11" s="17">
        <f>SUM(J8:J10)</f>
        <v>43.150242548683323</v>
      </c>
      <c r="L11" s="21"/>
    </row>
    <row r="12" spans="1:13" ht="13.5" thickTop="1"/>
    <row r="13" spans="1:13">
      <c r="F13" s="21"/>
      <c r="L13" s="21"/>
    </row>
    <row r="14" spans="1:13">
      <c r="F14" s="21"/>
      <c r="L14" s="21"/>
      <c r="M14" s="21"/>
    </row>
    <row r="15" spans="1:13">
      <c r="F15" s="21"/>
      <c r="L15" s="21"/>
      <c r="M15" s="21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32"/>
  <sheetViews>
    <sheetView rightToLeft="1" view="pageBreakPreview" topLeftCell="A22" zoomScaleNormal="100" zoomScaleSheetLayoutView="100" workbookViewId="0">
      <selection activeCell="F55" sqref="F55:F56"/>
    </sheetView>
  </sheetViews>
  <sheetFormatPr defaultRowHeight="12.75"/>
  <cols>
    <col min="1" max="1" width="52" customWidth="1"/>
    <col min="2" max="2" width="1.28515625" customWidth="1"/>
    <col min="3" max="3" width="15" style="14" bestFit="1" customWidth="1"/>
    <col min="4" max="4" width="1.28515625" style="14" customWidth="1"/>
    <col min="5" max="5" width="19.28515625" style="14" bestFit="1" customWidth="1"/>
    <col min="6" max="6" width="1.28515625" style="14" customWidth="1"/>
    <col min="7" max="7" width="16.85546875" style="14" bestFit="1" customWidth="1"/>
    <col min="8" max="8" width="1.28515625" style="14" customWidth="1"/>
    <col min="9" max="9" width="19.28515625" style="14" bestFit="1" customWidth="1"/>
    <col min="10" max="10" width="1.28515625" style="14" customWidth="1"/>
    <col min="11" max="11" width="20.5703125" style="14" bestFit="1" customWidth="1"/>
    <col min="12" max="12" width="1.28515625" style="14" customWidth="1"/>
    <col min="13" max="13" width="15" style="14" bestFit="1" customWidth="1"/>
    <col min="14" max="14" width="1.28515625" style="14" customWidth="1"/>
    <col min="15" max="15" width="19.5703125" style="14" bestFit="1" customWidth="1"/>
    <col min="16" max="16" width="1.28515625" style="14" customWidth="1"/>
    <col min="17" max="17" width="18.5703125" style="14" bestFit="1" customWidth="1"/>
    <col min="18" max="18" width="1.28515625" style="14" customWidth="1"/>
    <col min="19" max="19" width="19.7109375" style="14" bestFit="1" customWidth="1"/>
    <col min="20" max="20" width="1.28515625" style="14" customWidth="1"/>
    <col min="21" max="21" width="17.42578125" style="14" bestFit="1" customWidth="1"/>
    <col min="22" max="22" width="0.28515625" customWidth="1"/>
  </cols>
  <sheetData>
    <row r="1" spans="1:21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ht="21.7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3" spans="1:21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</row>
    <row r="4" spans="1:21" ht="14.45" customHeight="1"/>
    <row r="5" spans="1:21" ht="14.45" customHeight="1">
      <c r="A5" s="80" t="s">
        <v>61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</row>
    <row r="6" spans="1:21" ht="14.45" customHeight="1">
      <c r="C6" s="82" t="s">
        <v>34</v>
      </c>
      <c r="D6" s="82"/>
      <c r="E6" s="82"/>
      <c r="F6" s="82"/>
      <c r="G6" s="82"/>
      <c r="H6" s="82"/>
      <c r="I6" s="82"/>
      <c r="J6" s="82"/>
      <c r="K6" s="82"/>
      <c r="M6" s="82" t="s">
        <v>35</v>
      </c>
      <c r="N6" s="82"/>
      <c r="O6" s="82"/>
      <c r="P6" s="82"/>
      <c r="Q6" s="82"/>
      <c r="R6" s="82"/>
      <c r="S6" s="82"/>
      <c r="T6" s="82"/>
      <c r="U6" s="82"/>
    </row>
    <row r="7" spans="1:21" ht="14.45" customHeight="1">
      <c r="C7" s="23"/>
      <c r="D7" s="23"/>
      <c r="E7" s="23"/>
      <c r="F7" s="23"/>
      <c r="G7" s="23"/>
      <c r="H7" s="23"/>
      <c r="I7" s="79" t="s">
        <v>16</v>
      </c>
      <c r="J7" s="79"/>
      <c r="K7" s="79"/>
      <c r="M7" s="23"/>
      <c r="N7" s="23"/>
      <c r="O7" s="23"/>
      <c r="P7" s="23"/>
      <c r="Q7" s="23"/>
      <c r="R7" s="23"/>
      <c r="S7" s="79" t="s">
        <v>16</v>
      </c>
      <c r="T7" s="79"/>
      <c r="U7" s="79"/>
    </row>
    <row r="8" spans="1:21" ht="14.45" customHeight="1">
      <c r="A8" s="2"/>
      <c r="C8" s="2" t="s">
        <v>36</v>
      </c>
      <c r="E8" s="2" t="s">
        <v>37</v>
      </c>
      <c r="G8" s="2" t="s">
        <v>38</v>
      </c>
      <c r="I8" s="4" t="s">
        <v>18</v>
      </c>
      <c r="J8" s="23"/>
      <c r="K8" s="4" t="s">
        <v>28</v>
      </c>
      <c r="M8" s="2" t="s">
        <v>36</v>
      </c>
      <c r="O8" s="10" t="s">
        <v>37</v>
      </c>
      <c r="Q8" s="2" t="s">
        <v>38</v>
      </c>
      <c r="S8" s="4" t="s">
        <v>18</v>
      </c>
      <c r="T8" s="23"/>
      <c r="U8" s="4" t="s">
        <v>28</v>
      </c>
    </row>
    <row r="9" spans="1:21" ht="21.75" customHeight="1">
      <c r="A9" s="9" t="s">
        <v>15</v>
      </c>
      <c r="C9" s="68">
        <v>0</v>
      </c>
      <c r="D9" s="60"/>
      <c r="E9" s="59">
        <f>VLOOKUP(A9,'درآمد ناشی از تغییر قیمت اوراق'!A:Q,9,0)</f>
        <v>2993393885710</v>
      </c>
      <c r="F9" s="60"/>
      <c r="G9" s="59">
        <f>'درآمد ناشی از فروش'!I8</f>
        <v>69893313509</v>
      </c>
      <c r="H9" s="60"/>
      <c r="I9" s="68">
        <f>C9+E9+G9</f>
        <v>3063287199219</v>
      </c>
      <c r="J9" s="60"/>
      <c r="K9" s="72">
        <f>I9/3000983114170*100</f>
        <v>102.07612247982381</v>
      </c>
      <c r="L9" s="60"/>
      <c r="M9" s="68">
        <v>0</v>
      </c>
      <c r="N9" s="60"/>
      <c r="O9" s="59">
        <f>IFERROR(VLOOKUP(A9,'درآمد ناشی از تغییر قیمت اوراق'!A:Q,17,0),0)</f>
        <v>11011252165090</v>
      </c>
      <c r="P9" s="60"/>
      <c r="Q9" s="59">
        <f>IFERROR(VLOOKUP(A9,'درآمد ناشی از فروش'!A:Q,17,0),0)</f>
        <v>2256646250298</v>
      </c>
      <c r="R9" s="60"/>
      <c r="S9" s="59">
        <f>M9+O9+Q9</f>
        <v>13267898415388</v>
      </c>
      <c r="T9" s="60"/>
      <c r="U9" s="72">
        <f>S9/درآمد!$F$11*100</f>
        <v>99.384198531942332</v>
      </c>
    </row>
    <row r="10" spans="1:21" ht="21.75" customHeight="1">
      <c r="A10" s="8" t="s">
        <v>39</v>
      </c>
      <c r="C10" s="59">
        <v>0</v>
      </c>
      <c r="D10" s="60"/>
      <c r="E10" s="59">
        <v>0</v>
      </c>
      <c r="F10" s="60"/>
      <c r="G10" s="59">
        <f>'درآمد ناشی از فروش'!I9</f>
        <v>-7774132012</v>
      </c>
      <c r="H10" s="60"/>
      <c r="I10" s="59">
        <f>C10+E10+G10</f>
        <v>-7774132012</v>
      </c>
      <c r="J10" s="60"/>
      <c r="K10" s="72">
        <f t="shared" ref="K10:K27" si="0">I10/3000983114170*100</f>
        <v>-0.25905284089377956</v>
      </c>
      <c r="L10" s="60"/>
      <c r="M10" s="59">
        <v>0</v>
      </c>
      <c r="N10" s="60"/>
      <c r="O10" s="59">
        <f>IFERROR(VLOOKUP(A10,'درآمد ناشی از تغییر قیمت اوراق'!A:Q,17,0),0)</f>
        <v>0</v>
      </c>
      <c r="P10" s="60"/>
      <c r="Q10" s="59">
        <f>IFERROR(VLOOKUP(A10,'درآمد ناشی از فروش'!A:Q,17,0),0)</f>
        <v>42384415013</v>
      </c>
      <c r="R10" s="60"/>
      <c r="S10" s="59">
        <f>M10+O10+Q10</f>
        <v>42384415013</v>
      </c>
      <c r="T10" s="60"/>
      <c r="U10" s="72">
        <f>S10/درآمد!$F$11*100</f>
        <v>0.31748367257822768</v>
      </c>
    </row>
    <row r="11" spans="1:21" ht="21.75" customHeight="1">
      <c r="A11" s="8" t="s">
        <v>90</v>
      </c>
      <c r="C11" s="59">
        <v>0</v>
      </c>
      <c r="D11" s="60"/>
      <c r="E11" s="59">
        <v>0</v>
      </c>
      <c r="F11" s="60"/>
      <c r="G11" s="59">
        <f>'درآمد ناشی از فروش'!I10</f>
        <v>2645732399</v>
      </c>
      <c r="H11" s="60"/>
      <c r="I11" s="59">
        <f t="shared" ref="I11:I15" si="1">C11+E11+G11</f>
        <v>2645732399</v>
      </c>
      <c r="J11" s="60"/>
      <c r="K11" s="72">
        <f t="shared" si="0"/>
        <v>8.8162188800977176E-2</v>
      </c>
      <c r="L11" s="60"/>
      <c r="M11" s="59">
        <v>0</v>
      </c>
      <c r="N11" s="60"/>
      <c r="O11" s="59">
        <f>IFERROR(VLOOKUP(A11,'درآمد ناشی از تغییر قیمت اوراق'!A:Q,17,0),0)</f>
        <v>0</v>
      </c>
      <c r="P11" s="60"/>
      <c r="Q11" s="59">
        <f>IFERROR(VLOOKUP(A11,'درآمد ناشی از فروش'!A:Q,17,0),0)</f>
        <v>2645732399</v>
      </c>
      <c r="R11" s="60"/>
      <c r="S11" s="59">
        <f t="shared" ref="S11:S15" si="2">M11+O11+Q11</f>
        <v>2645732399</v>
      </c>
      <c r="T11" s="60"/>
      <c r="U11" s="72">
        <f>S11/درآمد!$F$11*100</f>
        <v>1.9818059030332024E-2</v>
      </c>
    </row>
    <row r="12" spans="1:21" ht="21.75" customHeight="1">
      <c r="A12" s="8" t="s">
        <v>86</v>
      </c>
      <c r="C12" s="59">
        <v>0</v>
      </c>
      <c r="D12" s="60"/>
      <c r="E12" s="59">
        <f>VLOOKUP(A12,'درآمد ناشی از تغییر قیمت اوراق'!A:Q,9,0)</f>
        <v>-90948367940</v>
      </c>
      <c r="F12" s="60"/>
      <c r="G12" s="59">
        <v>0</v>
      </c>
      <c r="H12" s="60"/>
      <c r="I12" s="59">
        <f t="shared" si="1"/>
        <v>-90948367940</v>
      </c>
      <c r="J12" s="60"/>
      <c r="K12" s="72">
        <f t="shared" si="0"/>
        <v>-3.0306191164675758</v>
      </c>
      <c r="L12" s="60"/>
      <c r="M12" s="59">
        <v>0</v>
      </c>
      <c r="N12" s="60"/>
      <c r="O12" s="59">
        <f>IFERROR(VLOOKUP(A12,'درآمد ناشی از تغییر قیمت اوراق'!A:Q,17,0),0)</f>
        <v>-90948367940</v>
      </c>
      <c r="P12" s="60"/>
      <c r="Q12" s="59">
        <f>IFERROR(VLOOKUP(A12,'درآمد ناشی از فروش'!A:Q,17,0),0)</f>
        <v>0</v>
      </c>
      <c r="R12" s="60"/>
      <c r="S12" s="59">
        <f t="shared" si="2"/>
        <v>-90948367940</v>
      </c>
      <c r="T12" s="60"/>
      <c r="U12" s="72">
        <f>S12/درآمد!$F$11*100</f>
        <v>-0.68125564219137646</v>
      </c>
    </row>
    <row r="13" spans="1:21" ht="21.75" customHeight="1">
      <c r="A13" s="8" t="s">
        <v>89</v>
      </c>
      <c r="C13" s="59">
        <v>0</v>
      </c>
      <c r="D13" s="60"/>
      <c r="E13" s="59">
        <f>VLOOKUP(A13,'درآمد ناشی از تغییر قیمت اوراق'!A:Q,9,0)</f>
        <v>11896758487</v>
      </c>
      <c r="F13" s="60"/>
      <c r="G13" s="59">
        <f>'درآمد ناشی از فروش'!I12</f>
        <v>0</v>
      </c>
      <c r="H13" s="60"/>
      <c r="I13" s="59">
        <f t="shared" si="1"/>
        <v>11896758487</v>
      </c>
      <c r="J13" s="60"/>
      <c r="K13" s="72">
        <f t="shared" si="0"/>
        <v>0.3964287046743466</v>
      </c>
      <c r="L13" s="60"/>
      <c r="M13" s="59">
        <v>0</v>
      </c>
      <c r="N13" s="60"/>
      <c r="O13" s="59">
        <f>IFERROR(VLOOKUP(A13,'درآمد ناشی از تغییر قیمت اوراق'!A:Q,17,0),0)</f>
        <v>11896758487</v>
      </c>
      <c r="P13" s="60"/>
      <c r="Q13" s="59">
        <f>IFERROR(VLOOKUP(A13,'درآمد ناشی از فروش'!A:Q,17,0),0)</f>
        <v>0</v>
      </c>
      <c r="R13" s="60"/>
      <c r="S13" s="59">
        <f t="shared" si="2"/>
        <v>11896758487</v>
      </c>
      <c r="T13" s="60"/>
      <c r="U13" s="72">
        <f>S13/درآمد!$F$11*100</f>
        <v>8.9113570992320701E-2</v>
      </c>
    </row>
    <row r="14" spans="1:21" ht="21.75" customHeight="1">
      <c r="A14" s="8" t="s">
        <v>87</v>
      </c>
      <c r="C14" s="59">
        <v>0</v>
      </c>
      <c r="D14" s="60"/>
      <c r="E14" s="59">
        <f>VLOOKUP(A14,'درآمد ناشی از تغییر قیمت اوراق'!A:Q,9,0)</f>
        <v>-2476459195</v>
      </c>
      <c r="F14" s="60"/>
      <c r="G14" s="59">
        <f>'درآمد ناشی از فروش'!I13</f>
        <v>0</v>
      </c>
      <c r="H14" s="60"/>
      <c r="I14" s="59">
        <f t="shared" si="1"/>
        <v>-2476459195</v>
      </c>
      <c r="J14" s="60"/>
      <c r="K14" s="72">
        <f t="shared" si="0"/>
        <v>-8.2521597116181358E-2</v>
      </c>
      <c r="L14" s="60"/>
      <c r="M14" s="59">
        <v>0</v>
      </c>
      <c r="N14" s="60"/>
      <c r="O14" s="59">
        <f>IFERROR(VLOOKUP(A14,'درآمد ناشی از تغییر قیمت اوراق'!A:Q,17,0),0)</f>
        <v>-2476459195</v>
      </c>
      <c r="P14" s="60"/>
      <c r="Q14" s="59">
        <f>IFERROR(VLOOKUP(A14,'درآمد ناشی از فروش'!A:Q,17,0),0)</f>
        <v>0</v>
      </c>
      <c r="R14" s="60"/>
      <c r="S14" s="59">
        <f t="shared" si="2"/>
        <v>-2476459195</v>
      </c>
      <c r="T14" s="60"/>
      <c r="U14" s="72">
        <f>S14/درآمد!$F$11*100</f>
        <v>-1.8550105268117296E-2</v>
      </c>
    </row>
    <row r="15" spans="1:21" ht="21.75" customHeight="1">
      <c r="A15" s="8" t="s">
        <v>88</v>
      </c>
      <c r="C15" s="59">
        <v>0</v>
      </c>
      <c r="D15" s="60"/>
      <c r="E15" s="59">
        <f>VLOOKUP(A15,'درآمد ناشی از تغییر قیمت اوراق'!A:Q,9,0)</f>
        <v>22770829886</v>
      </c>
      <c r="F15" s="60"/>
      <c r="G15" s="59">
        <f>'درآمد ناشی از فروش'!I14</f>
        <v>0</v>
      </c>
      <c r="H15" s="60"/>
      <c r="I15" s="59">
        <f t="shared" si="1"/>
        <v>22770829886</v>
      </c>
      <c r="J15" s="60"/>
      <c r="K15" s="72">
        <f t="shared" si="0"/>
        <v>0.75877900740197479</v>
      </c>
      <c r="L15" s="60"/>
      <c r="M15" s="59">
        <v>0</v>
      </c>
      <c r="N15" s="60"/>
      <c r="O15" s="59">
        <f>IFERROR(VLOOKUP(A15,'درآمد ناشی از تغییر قیمت اوراق'!A:Q,17,0),0)</f>
        <v>22770829886</v>
      </c>
      <c r="P15" s="60"/>
      <c r="Q15" s="59">
        <f>IFERROR(VLOOKUP(A15,'درآمد ناشی از فروش'!A:Q,17,0),0)</f>
        <v>0</v>
      </c>
      <c r="R15" s="60"/>
      <c r="S15" s="59">
        <f t="shared" si="2"/>
        <v>22770829886</v>
      </c>
      <c r="T15" s="60"/>
      <c r="U15" s="72">
        <f>S15/درآمد!$F$11*100</f>
        <v>0.17056662685196855</v>
      </c>
    </row>
    <row r="16" spans="1:21" ht="21.75" customHeight="1">
      <c r="A16" s="8" t="s">
        <v>10</v>
      </c>
      <c r="C16" s="59">
        <v>0</v>
      </c>
      <c r="D16" s="60"/>
      <c r="E16" s="59">
        <v>0</v>
      </c>
      <c r="F16" s="60"/>
      <c r="G16" s="59">
        <f>IFERROR(VLOOKUP(A16,'درآمد اعمال اختیار'!A:L,10,0),0)</f>
        <v>0</v>
      </c>
      <c r="H16" s="60"/>
      <c r="I16" s="59">
        <f t="shared" ref="I16:I27" si="3">C16+E16+G16</f>
        <v>0</v>
      </c>
      <c r="J16" s="60"/>
      <c r="K16" s="72">
        <f t="shared" si="0"/>
        <v>0</v>
      </c>
      <c r="L16" s="60"/>
      <c r="M16" s="59">
        <v>0</v>
      </c>
      <c r="N16" s="60"/>
      <c r="O16" s="59">
        <f>IFERROR(VLOOKUP(A16,'درآمد ناشی از تغییر قیمت اوراق'!A:Q,17,0),0)</f>
        <v>0</v>
      </c>
      <c r="P16" s="60"/>
      <c r="Q16" s="59">
        <f>IFERROR(VLOOKUP(A16,'درآمد اعمال اختیار'!A:L,12,0),0)</f>
        <v>7851327396</v>
      </c>
      <c r="R16" s="60"/>
      <c r="S16" s="59">
        <f t="shared" ref="S16:S27" si="4">M16+O16+Q16</f>
        <v>7851327396</v>
      </c>
      <c r="T16" s="60"/>
      <c r="U16" s="72">
        <f>S16/درآمد!$F$11*100</f>
        <v>5.8810962839326436E-2</v>
      </c>
    </row>
    <row r="17" spans="1:21" ht="21.75" customHeight="1">
      <c r="A17" s="8" t="s">
        <v>11</v>
      </c>
      <c r="C17" s="59">
        <v>0</v>
      </c>
      <c r="D17" s="60"/>
      <c r="E17" s="59">
        <v>0</v>
      </c>
      <c r="F17" s="60"/>
      <c r="G17" s="59">
        <f>IFERROR(VLOOKUP(A17,'درآمد اعمال اختیار'!A:L,10,0),0)</f>
        <v>0</v>
      </c>
      <c r="H17" s="60"/>
      <c r="I17" s="59">
        <f t="shared" si="3"/>
        <v>0</v>
      </c>
      <c r="J17" s="60"/>
      <c r="K17" s="72">
        <f t="shared" si="0"/>
        <v>0</v>
      </c>
      <c r="L17" s="60"/>
      <c r="M17" s="59">
        <v>0</v>
      </c>
      <c r="N17" s="60"/>
      <c r="O17" s="59">
        <f>IFERROR(VLOOKUP(A17,'درآمد ناشی از تغییر قیمت اوراق'!A:Q,17,0),0)</f>
        <v>0</v>
      </c>
      <c r="P17" s="60"/>
      <c r="Q17" s="59">
        <f>IFERROR(VLOOKUP(A17,'درآمد اعمال اختیار'!A:L,12,0),0)</f>
        <v>13506334256</v>
      </c>
      <c r="R17" s="60"/>
      <c r="S17" s="59">
        <f t="shared" si="4"/>
        <v>13506334256</v>
      </c>
      <c r="T17" s="60"/>
      <c r="U17" s="72">
        <f>S17/درآمد!$F$11*100</f>
        <v>0.10117022026489668</v>
      </c>
    </row>
    <row r="18" spans="1:21" ht="21.75" customHeight="1">
      <c r="A18" s="8" t="s">
        <v>12</v>
      </c>
      <c r="C18" s="59">
        <v>0</v>
      </c>
      <c r="D18" s="60"/>
      <c r="E18" s="59">
        <v>0</v>
      </c>
      <c r="F18" s="60"/>
      <c r="G18" s="59">
        <f>IFERROR(VLOOKUP(A18,'درآمد اعمال اختیار'!A:L,10,0),0)</f>
        <v>0</v>
      </c>
      <c r="H18" s="60"/>
      <c r="I18" s="59">
        <f t="shared" si="3"/>
        <v>0</v>
      </c>
      <c r="J18" s="60"/>
      <c r="K18" s="72">
        <f t="shared" si="0"/>
        <v>0</v>
      </c>
      <c r="L18" s="60"/>
      <c r="M18" s="59">
        <v>0</v>
      </c>
      <c r="N18" s="60"/>
      <c r="O18" s="59">
        <f>IFERROR(VLOOKUP(A18,'درآمد ناشی از تغییر قیمت اوراق'!A:Q,17,0),0)</f>
        <v>0</v>
      </c>
      <c r="P18" s="60"/>
      <c r="Q18" s="59">
        <f>IFERROR(VLOOKUP(A18,'درآمد اعمال اختیار'!A:L,12,0),0)</f>
        <v>12192942597</v>
      </c>
      <c r="R18" s="60"/>
      <c r="S18" s="59">
        <f t="shared" si="4"/>
        <v>12192942597</v>
      </c>
      <c r="T18" s="60"/>
      <c r="U18" s="72">
        <f>S18/درآمد!$F$11*100</f>
        <v>9.1332160513333843E-2</v>
      </c>
    </row>
    <row r="19" spans="1:21" ht="21.75" customHeight="1">
      <c r="A19" s="8" t="s">
        <v>13</v>
      </c>
      <c r="C19" s="59">
        <v>0</v>
      </c>
      <c r="D19" s="60"/>
      <c r="E19" s="59">
        <v>0</v>
      </c>
      <c r="F19" s="60"/>
      <c r="G19" s="59">
        <f>IFERROR(VLOOKUP(A19,'درآمد اعمال اختیار'!A:L,10,0),0)</f>
        <v>0</v>
      </c>
      <c r="H19" s="60"/>
      <c r="I19" s="59">
        <f t="shared" si="3"/>
        <v>0</v>
      </c>
      <c r="J19" s="60"/>
      <c r="K19" s="72">
        <f t="shared" si="0"/>
        <v>0</v>
      </c>
      <c r="L19" s="60"/>
      <c r="M19" s="59">
        <v>0</v>
      </c>
      <c r="N19" s="60"/>
      <c r="O19" s="59">
        <f>IFERROR(VLOOKUP(A19,'درآمد ناشی از تغییر قیمت اوراق'!A:Q,17,0),0)</f>
        <v>0</v>
      </c>
      <c r="P19" s="60"/>
      <c r="Q19" s="59">
        <f>IFERROR(VLOOKUP(A19,'درآمد اعمال اختیار'!A:L,12,0),0)</f>
        <v>21986883549</v>
      </c>
      <c r="R19" s="60"/>
      <c r="S19" s="59">
        <f t="shared" si="4"/>
        <v>21986883549</v>
      </c>
      <c r="T19" s="60"/>
      <c r="U19" s="72">
        <f>S19/درآمد!$F$11*100</f>
        <v>0.16469441740661769</v>
      </c>
    </row>
    <row r="20" spans="1:21" ht="21.75" customHeight="1">
      <c r="A20" s="8" t="s">
        <v>14</v>
      </c>
      <c r="C20" s="59">
        <v>0</v>
      </c>
      <c r="D20" s="60"/>
      <c r="E20" s="59">
        <v>0</v>
      </c>
      <c r="F20" s="60"/>
      <c r="G20" s="59">
        <f>IFERROR(VLOOKUP(A20,'درآمد اعمال اختیار'!A:L,10,0),0)</f>
        <v>0</v>
      </c>
      <c r="H20" s="60"/>
      <c r="I20" s="59">
        <f t="shared" si="3"/>
        <v>0</v>
      </c>
      <c r="J20" s="60"/>
      <c r="K20" s="72">
        <f t="shared" si="0"/>
        <v>0</v>
      </c>
      <c r="L20" s="60"/>
      <c r="M20" s="59">
        <v>0</v>
      </c>
      <c r="N20" s="60"/>
      <c r="O20" s="59">
        <f>IFERROR(VLOOKUP(A20,'درآمد ناشی از تغییر قیمت اوراق'!A:Q,17,0),0)</f>
        <v>0</v>
      </c>
      <c r="P20" s="60"/>
      <c r="Q20" s="59">
        <f>IFERROR(VLOOKUP(A20,'درآمد اعمال اختیار'!A:L,12,0),0)</f>
        <v>7953236119</v>
      </c>
      <c r="R20" s="60"/>
      <c r="S20" s="59">
        <f t="shared" si="4"/>
        <v>7953236119</v>
      </c>
      <c r="T20" s="60"/>
      <c r="U20" s="72">
        <f>S20/درآمد!$F$11*100</f>
        <v>5.9574317851678826E-2</v>
      </c>
    </row>
    <row r="21" spans="1:21" ht="21.75" customHeight="1">
      <c r="A21" s="8" t="s">
        <v>63</v>
      </c>
      <c r="C21" s="59">
        <v>0</v>
      </c>
      <c r="D21" s="60"/>
      <c r="E21" s="59">
        <v>0</v>
      </c>
      <c r="F21" s="60"/>
      <c r="G21" s="59">
        <f>IFERROR(VLOOKUP(A21,'درآمد اعمال اختیار'!A:L,10,0),0)</f>
        <v>0</v>
      </c>
      <c r="H21" s="60"/>
      <c r="I21" s="59">
        <f t="shared" si="3"/>
        <v>0</v>
      </c>
      <c r="J21" s="60"/>
      <c r="K21" s="72">
        <f t="shared" si="0"/>
        <v>0</v>
      </c>
      <c r="L21" s="60"/>
      <c r="M21" s="59">
        <v>0</v>
      </c>
      <c r="N21" s="60"/>
      <c r="O21" s="59">
        <f>IFERROR(VLOOKUP(A21,'درآمد ناشی از تغییر قیمت اوراق'!A:Q,17,0),0)</f>
        <v>0</v>
      </c>
      <c r="P21" s="60"/>
      <c r="Q21" s="59">
        <f>IFERROR(VLOOKUP(A21,'درآمد اعمال اختیار'!A:L,12,0),0)</f>
        <v>2323243497</v>
      </c>
      <c r="R21" s="60"/>
      <c r="S21" s="59">
        <f t="shared" si="4"/>
        <v>2323243497</v>
      </c>
      <c r="T21" s="60"/>
      <c r="U21" s="72">
        <f>S21/درآمد!$F$11*100</f>
        <v>1.7402431471445649E-2</v>
      </c>
    </row>
    <row r="22" spans="1:21" ht="21.75" customHeight="1">
      <c r="A22" s="8" t="s">
        <v>64</v>
      </c>
      <c r="C22" s="59">
        <v>0</v>
      </c>
      <c r="D22" s="60"/>
      <c r="E22" s="59">
        <v>0</v>
      </c>
      <c r="F22" s="60"/>
      <c r="G22" s="59">
        <f>IFERROR(VLOOKUP(A22,'درآمد اعمال اختیار'!A:L,10,0),0)</f>
        <v>0</v>
      </c>
      <c r="H22" s="60"/>
      <c r="I22" s="59">
        <f t="shared" si="3"/>
        <v>0</v>
      </c>
      <c r="J22" s="60"/>
      <c r="K22" s="72">
        <f t="shared" si="0"/>
        <v>0</v>
      </c>
      <c r="L22" s="60"/>
      <c r="M22" s="59">
        <v>0</v>
      </c>
      <c r="N22" s="60"/>
      <c r="O22" s="59">
        <f>IFERROR(VLOOKUP(A22,'درآمد ناشی از تغییر قیمت اوراق'!A:Q,17,0),0)</f>
        <v>0</v>
      </c>
      <c r="P22" s="60"/>
      <c r="Q22" s="59">
        <f>IFERROR(VLOOKUP(A22,'درآمد اعمال اختیار'!A:L,12,0),0)</f>
        <v>950536282</v>
      </c>
      <c r="R22" s="60"/>
      <c r="S22" s="59">
        <f t="shared" si="4"/>
        <v>950536282</v>
      </c>
      <c r="T22" s="60"/>
      <c r="U22" s="72">
        <f>S22/درآمد!$F$11*100</f>
        <v>7.1200640526866543E-3</v>
      </c>
    </row>
    <row r="23" spans="1:21" ht="21.75" customHeight="1">
      <c r="A23" s="8" t="s">
        <v>65</v>
      </c>
      <c r="C23" s="59">
        <v>0</v>
      </c>
      <c r="D23" s="60"/>
      <c r="E23" s="59">
        <v>0</v>
      </c>
      <c r="F23" s="60"/>
      <c r="G23" s="59">
        <f>IFERROR(VLOOKUP(A23,'درآمد اعمال اختیار'!A:L,10,0),0)</f>
        <v>0</v>
      </c>
      <c r="H23" s="60"/>
      <c r="I23" s="59">
        <f t="shared" si="3"/>
        <v>0</v>
      </c>
      <c r="J23" s="60"/>
      <c r="K23" s="72">
        <f t="shared" si="0"/>
        <v>0</v>
      </c>
      <c r="L23" s="60"/>
      <c r="M23" s="59">
        <v>0</v>
      </c>
      <c r="N23" s="60"/>
      <c r="O23" s="59">
        <f>IFERROR(VLOOKUP(A23,'درآمد ناشی از تغییر قیمت اوراق'!A:Q,17,0),0)</f>
        <v>0</v>
      </c>
      <c r="P23" s="60"/>
      <c r="Q23" s="59">
        <f>IFERROR(VLOOKUP(A23,'درآمد اعمال اختیار'!A:L,12,0),0)</f>
        <v>11623371119</v>
      </c>
      <c r="R23" s="60"/>
      <c r="S23" s="59">
        <f t="shared" si="4"/>
        <v>11623371119</v>
      </c>
      <c r="T23" s="60"/>
      <c r="U23" s="72">
        <f>S23/درآمد!$F$11*100</f>
        <v>8.7065742194813084E-2</v>
      </c>
    </row>
    <row r="24" spans="1:21" ht="21.75" customHeight="1">
      <c r="A24" s="8" t="s">
        <v>66</v>
      </c>
      <c r="C24" s="59">
        <v>0</v>
      </c>
      <c r="D24" s="60"/>
      <c r="E24" s="59">
        <v>0</v>
      </c>
      <c r="F24" s="60"/>
      <c r="G24" s="59">
        <f>IFERROR(VLOOKUP(A24,'درآمد اعمال اختیار'!A:L,10,0),0)</f>
        <v>0</v>
      </c>
      <c r="H24" s="60"/>
      <c r="I24" s="59">
        <f t="shared" si="3"/>
        <v>0</v>
      </c>
      <c r="J24" s="60"/>
      <c r="K24" s="72">
        <f t="shared" si="0"/>
        <v>0</v>
      </c>
      <c r="L24" s="60"/>
      <c r="M24" s="59">
        <v>0</v>
      </c>
      <c r="N24" s="60"/>
      <c r="O24" s="59">
        <f>IFERROR(VLOOKUP(A24,'درآمد ناشی از تغییر قیمت اوراق'!A:Q,17,0),0)</f>
        <v>0</v>
      </c>
      <c r="P24" s="60"/>
      <c r="Q24" s="59">
        <f>IFERROR(VLOOKUP(A24,'درآمد اعمال اختیار'!A:L,12,0),0)</f>
        <v>9403317173</v>
      </c>
      <c r="R24" s="60"/>
      <c r="S24" s="59">
        <f t="shared" si="4"/>
        <v>9403317173</v>
      </c>
      <c r="T24" s="60"/>
      <c r="U24" s="72">
        <f>S24/درآمد!$F$11*100</f>
        <v>7.043625987491596E-2</v>
      </c>
    </row>
    <row r="25" spans="1:21" ht="21.75" customHeight="1">
      <c r="A25" s="8" t="s">
        <v>67</v>
      </c>
      <c r="C25" s="59">
        <v>0</v>
      </c>
      <c r="D25" s="60"/>
      <c r="E25" s="59">
        <v>0</v>
      </c>
      <c r="F25" s="60"/>
      <c r="G25" s="59">
        <f>IFERROR(VLOOKUP(A25,'درآمد اعمال اختیار'!A:L,10,0),0)</f>
        <v>0</v>
      </c>
      <c r="H25" s="60"/>
      <c r="I25" s="59">
        <f t="shared" si="3"/>
        <v>0</v>
      </c>
      <c r="J25" s="60"/>
      <c r="K25" s="72">
        <f t="shared" si="0"/>
        <v>0</v>
      </c>
      <c r="L25" s="60"/>
      <c r="M25" s="59">
        <v>0</v>
      </c>
      <c r="N25" s="60"/>
      <c r="O25" s="59">
        <f>IFERROR(VLOOKUP(A25,'درآمد ناشی از تغییر قیمت اوراق'!A:Q,17,0),0)</f>
        <v>0</v>
      </c>
      <c r="P25" s="60"/>
      <c r="Q25" s="59">
        <f>IFERROR(VLOOKUP(A25,'درآمد اعمال اختیار'!A:L,12,0),0)</f>
        <v>3737822385</v>
      </c>
      <c r="R25" s="60"/>
      <c r="S25" s="59">
        <f t="shared" si="4"/>
        <v>3737822385</v>
      </c>
      <c r="T25" s="60"/>
      <c r="U25" s="72">
        <f>S25/درآمد!$F$11*100</f>
        <v>2.7998441829878509E-2</v>
      </c>
    </row>
    <row r="26" spans="1:21" ht="21.75" customHeight="1">
      <c r="A26" s="8" t="s">
        <v>68</v>
      </c>
      <c r="C26" s="59">
        <v>0</v>
      </c>
      <c r="D26" s="60"/>
      <c r="E26" s="59">
        <v>0</v>
      </c>
      <c r="F26" s="60"/>
      <c r="G26" s="59">
        <f>IFERROR(VLOOKUP(A26,'درآمد اعمال اختیار'!A:L,10,0),0)</f>
        <v>0</v>
      </c>
      <c r="H26" s="60"/>
      <c r="I26" s="59">
        <f t="shared" si="3"/>
        <v>0</v>
      </c>
      <c r="J26" s="60"/>
      <c r="K26" s="72">
        <f t="shared" si="0"/>
        <v>0</v>
      </c>
      <c r="L26" s="60"/>
      <c r="M26" s="59">
        <v>0</v>
      </c>
      <c r="N26" s="60"/>
      <c r="O26" s="59">
        <f>IFERROR(VLOOKUP(A26,'درآمد ناشی از تغییر قیمت اوراق'!A:Q,17,0),0)</f>
        <v>0</v>
      </c>
      <c r="P26" s="60"/>
      <c r="Q26" s="59">
        <f>IFERROR(VLOOKUP(A26,'درآمد اعمال اختیار'!A:L,12,0),0)</f>
        <v>993815288</v>
      </c>
      <c r="R26" s="60"/>
      <c r="S26" s="59">
        <f t="shared" si="4"/>
        <v>993815288</v>
      </c>
      <c r="T26" s="60"/>
      <c r="U26" s="72">
        <f>S26/درآمد!$F$11*100</f>
        <v>7.4442487268457942E-3</v>
      </c>
    </row>
    <row r="27" spans="1:21" ht="21.75" customHeight="1">
      <c r="A27" s="8" t="s">
        <v>69</v>
      </c>
      <c r="C27" s="59">
        <v>0</v>
      </c>
      <c r="D27" s="60"/>
      <c r="E27" s="59">
        <v>0</v>
      </c>
      <c r="F27" s="60"/>
      <c r="G27" s="59">
        <f>IFERROR(VLOOKUP(A27,'درآمد اعمال اختیار'!A:L,10,0),0)</f>
        <v>0</v>
      </c>
      <c r="H27" s="60"/>
      <c r="I27" s="59">
        <f t="shared" si="3"/>
        <v>0</v>
      </c>
      <c r="J27" s="60"/>
      <c r="K27" s="72">
        <f t="shared" si="0"/>
        <v>0</v>
      </c>
      <c r="L27" s="60"/>
      <c r="M27" s="59"/>
      <c r="N27" s="60"/>
      <c r="O27" s="59">
        <f>IFERROR(VLOOKUP(A27,'درآمد ناشی از تغییر قیمت اوراق'!A:Q,17,0),0)</f>
        <v>0</v>
      </c>
      <c r="P27" s="60"/>
      <c r="Q27" s="59">
        <f>IFERROR(VLOOKUP(A27,'درآمد اعمال اختیار'!A:L,12,0),0)</f>
        <v>824652506</v>
      </c>
      <c r="R27" s="60"/>
      <c r="S27" s="59">
        <f t="shared" si="4"/>
        <v>824652506</v>
      </c>
      <c r="T27" s="60"/>
      <c r="U27" s="72">
        <f>S27/درآمد!$F$11*100</f>
        <v>6.1771220889899354E-3</v>
      </c>
    </row>
    <row r="28" spans="1:21" ht="19.5" thickBot="1">
      <c r="C28" s="69">
        <f>SUM(C9:C27)</f>
        <v>0</v>
      </c>
      <c r="D28" s="59"/>
      <c r="E28" s="69">
        <f>SUM(E9:E27)</f>
        <v>2934636646948</v>
      </c>
      <c r="F28" s="59"/>
      <c r="G28" s="69">
        <f>SUM(G9:G27)</f>
        <v>64764913896</v>
      </c>
      <c r="H28" s="59"/>
      <c r="I28" s="69">
        <f>SUM(I9:I27)</f>
        <v>2999401560844</v>
      </c>
      <c r="J28" s="59"/>
      <c r="K28" s="73">
        <f>SUM(K9:K27)</f>
        <v>99.947298826223573</v>
      </c>
      <c r="L28" s="59"/>
      <c r="M28" s="69">
        <f>SUM(M9:M27)</f>
        <v>0</v>
      </c>
      <c r="N28" s="59"/>
      <c r="O28" s="69">
        <f>SUM(O9:O27)</f>
        <v>10952494926328</v>
      </c>
      <c r="P28" s="59"/>
      <c r="Q28" s="69">
        <f>SUM(Q9:Q27)</f>
        <v>2395023879877</v>
      </c>
      <c r="R28" s="59"/>
      <c r="S28" s="69">
        <f>SUM(S9:S27)</f>
        <v>13347518806205</v>
      </c>
      <c r="T28" s="59"/>
      <c r="U28" s="73">
        <f>SUM(U9:U27)</f>
        <v>99.9806011030511</v>
      </c>
    </row>
    <row r="29" spans="1:21" ht="13.5" thickTop="1"/>
    <row r="30" spans="1:21">
      <c r="E30" s="42"/>
      <c r="G30" s="74"/>
      <c r="I30" s="42"/>
      <c r="O30" s="42"/>
      <c r="Q30" s="42"/>
      <c r="S30" s="42"/>
    </row>
    <row r="31" spans="1:21">
      <c r="E31" s="42"/>
      <c r="G31" s="42"/>
      <c r="O31" s="42"/>
      <c r="Q31" s="42"/>
    </row>
    <row r="32" spans="1:21">
      <c r="E32" s="42"/>
      <c r="Q32" s="42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2"/>
  <sheetViews>
    <sheetView rightToLeft="1" view="pageBreakPreview" topLeftCell="A2" zoomScale="150" zoomScaleNormal="100" zoomScaleSheetLayoutView="150" workbookViewId="0">
      <selection activeCell="G11" sqref="A11:G16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</row>
    <row r="2" spans="1:9" ht="21.7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</row>
    <row r="3" spans="1:9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</row>
    <row r="4" spans="1:9" ht="14.45" customHeight="1"/>
    <row r="5" spans="1:9" ht="14.45" customHeight="1">
      <c r="A5" s="80" t="s">
        <v>62</v>
      </c>
      <c r="B5" s="80"/>
      <c r="C5" s="80"/>
      <c r="D5" s="80"/>
      <c r="E5" s="80"/>
      <c r="F5" s="80"/>
      <c r="G5" s="80"/>
      <c r="H5" s="80"/>
      <c r="I5" s="80"/>
    </row>
    <row r="6" spans="1:9" ht="14.45" customHeight="1">
      <c r="C6" s="82" t="s">
        <v>34</v>
      </c>
      <c r="D6" s="82"/>
      <c r="E6" s="82"/>
      <c r="G6" s="82" t="s">
        <v>35</v>
      </c>
      <c r="H6" s="82"/>
      <c r="I6" s="82"/>
    </row>
    <row r="7" spans="1:9" ht="36.4" customHeight="1">
      <c r="A7" s="22" t="s">
        <v>40</v>
      </c>
      <c r="C7" s="7" t="s">
        <v>41</v>
      </c>
      <c r="D7" s="3"/>
      <c r="E7" s="7" t="s">
        <v>42</v>
      </c>
      <c r="G7" s="7" t="s">
        <v>41</v>
      </c>
      <c r="H7" s="3"/>
      <c r="I7" s="7" t="s">
        <v>42</v>
      </c>
    </row>
    <row r="8" spans="1:9" ht="21.75" customHeight="1">
      <c r="A8" s="9" t="s">
        <v>21</v>
      </c>
      <c r="C8" s="11">
        <f>'سود سپرده بانکی'!C8</f>
        <v>749314</v>
      </c>
      <c r="D8" s="14"/>
      <c r="E8" s="16">
        <f>C8/$C$10*100</f>
        <v>100</v>
      </c>
      <c r="F8" s="14"/>
      <c r="G8" s="11">
        <f>'سود سپرده بانکی'!I8</f>
        <v>43065991</v>
      </c>
      <c r="H8" s="14"/>
      <c r="I8" s="16">
        <f>G8/$G$10*100</f>
        <v>38.567530200349971</v>
      </c>
    </row>
    <row r="9" spans="1:9" ht="21.75" customHeight="1">
      <c r="A9" s="8" t="s">
        <v>82</v>
      </c>
      <c r="C9" s="12">
        <f>'سود سپرده بانکی'!C9</f>
        <v>0</v>
      </c>
      <c r="D9" s="14"/>
      <c r="E9" s="16">
        <f>C9/$C$10*100</f>
        <v>0</v>
      </c>
      <c r="F9" s="14"/>
      <c r="G9" s="12">
        <f>'سود سپرده بانکی'!I9</f>
        <v>68597864</v>
      </c>
      <c r="H9" s="14"/>
      <c r="I9" s="16">
        <f>G9/$G$10*100</f>
        <v>61.432469799650022</v>
      </c>
    </row>
    <row r="10" spans="1:9" ht="21.75" customHeight="1" thickBot="1">
      <c r="A10" s="18"/>
      <c r="C10" s="13">
        <f>SUM(C8:C9)</f>
        <v>749314</v>
      </c>
      <c r="D10" s="14"/>
      <c r="E10" s="13">
        <f>SUM(E8:E9)</f>
        <v>100</v>
      </c>
      <c r="F10" s="14"/>
      <c r="G10" s="13">
        <f>SUM(G8:G9)</f>
        <v>111663855</v>
      </c>
      <c r="H10" s="14"/>
      <c r="I10" s="13">
        <f>SUM(I8:I9)</f>
        <v>100</v>
      </c>
    </row>
    <row r="11" spans="1:9" ht="13.5" thickTop="1">
      <c r="C11" s="21"/>
      <c r="G11" s="21"/>
    </row>
    <row r="12" spans="1:9">
      <c r="C12" s="21"/>
      <c r="G12" s="21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3"/>
  <sheetViews>
    <sheetView rightToLeft="1" view="pageBreakPreview" zoomScale="98" zoomScaleNormal="100" zoomScaleSheetLayoutView="98" workbookViewId="0">
      <selection activeCell="F10" sqref="D10:F15"/>
    </sheetView>
  </sheetViews>
  <sheetFormatPr defaultRowHeight="12.75"/>
  <cols>
    <col min="1" max="1" width="5.140625" style="24" customWidth="1"/>
    <col min="2" max="2" width="41.57031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25.5">
      <c r="A1" s="91" t="str">
        <f>'گواهی شمش'!A1</f>
        <v>صندوق سرمایه گذاری کالایی درفش دماوند</v>
      </c>
      <c r="B1" s="91"/>
      <c r="C1" s="91"/>
      <c r="D1" s="91"/>
      <c r="E1" s="91"/>
      <c r="F1" s="91"/>
    </row>
    <row r="2" spans="1:6" ht="25.5">
      <c r="A2" s="91" t="s">
        <v>23</v>
      </c>
      <c r="B2" s="91"/>
      <c r="C2" s="91"/>
      <c r="D2" s="91"/>
      <c r="E2" s="91"/>
      <c r="F2" s="91"/>
    </row>
    <row r="3" spans="1:6" ht="25.5">
      <c r="A3" s="91" t="str">
        <f>'گواهی شمش'!A3</f>
        <v>برای ماه منتهی به 1405/02/31</v>
      </c>
      <c r="B3" s="91"/>
      <c r="C3" s="91"/>
      <c r="D3" s="91"/>
      <c r="E3" s="91"/>
      <c r="F3" s="91"/>
    </row>
    <row r="4" spans="1:6" ht="14.45" customHeight="1"/>
    <row r="5" spans="1:6" ht="29.1" customHeight="1">
      <c r="A5" s="32" t="s">
        <v>73</v>
      </c>
      <c r="B5" s="99" t="s">
        <v>72</v>
      </c>
      <c r="C5" s="99"/>
      <c r="D5" s="99"/>
      <c r="E5" s="99"/>
      <c r="F5" s="99"/>
    </row>
    <row r="6" spans="1:6" ht="21">
      <c r="D6" s="27" t="s">
        <v>34</v>
      </c>
      <c r="F6" s="27" t="s">
        <v>85</v>
      </c>
    </row>
    <row r="7" spans="1:6" ht="21">
      <c r="A7" s="100" t="s">
        <v>72</v>
      </c>
      <c r="B7" s="100"/>
      <c r="D7" s="31" t="s">
        <v>18</v>
      </c>
      <c r="F7" s="31" t="s">
        <v>18</v>
      </c>
    </row>
    <row r="8" spans="1:6" ht="31.5" customHeight="1">
      <c r="A8" s="97" t="s">
        <v>71</v>
      </c>
      <c r="B8" s="97"/>
      <c r="D8" s="33">
        <v>1580804012</v>
      </c>
      <c r="E8" s="34"/>
      <c r="F8" s="33">
        <v>2478109951</v>
      </c>
    </row>
    <row r="9" spans="1:6" ht="31.5" customHeight="1" thickBot="1">
      <c r="A9" s="98"/>
      <c r="B9" s="98"/>
      <c r="D9" s="35">
        <f>SUM(D8)</f>
        <v>1580804012</v>
      </c>
      <c r="E9" s="34"/>
      <c r="F9" s="35">
        <f>SUM(F8)</f>
        <v>2478109951</v>
      </c>
    </row>
    <row r="10" spans="1:6" ht="13.5" thickTop="1">
      <c r="D10" s="75"/>
      <c r="F10" s="75"/>
    </row>
    <row r="11" spans="1:6">
      <c r="D11" s="75"/>
      <c r="F11" s="75"/>
    </row>
    <row r="12" spans="1:6">
      <c r="D12" s="75"/>
    </row>
    <row r="13" spans="1:6">
      <c r="D13" s="75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="118" zoomScaleNormal="100" zoomScaleSheetLayoutView="118" workbookViewId="0">
      <selection activeCell="M11" sqref="G11:M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1" t="str">
        <f>'گواهی شمش'!A1</f>
        <v>صندوق سرمایه گذاری کالایی درفش دماوند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1.7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1.75" customHeight="1">
      <c r="A3" s="81" t="str">
        <f>'گواهی شمش'!A3</f>
        <v>برای ماه منتهی به 1405/02/31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/>
    <row r="5" spans="1:13" ht="14.45" customHeight="1">
      <c r="A5" s="96" t="s">
        <v>46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1:13" ht="14.45" customHeight="1">
      <c r="A6" s="82" t="s">
        <v>26</v>
      </c>
      <c r="C6" s="82" t="s">
        <v>34</v>
      </c>
      <c r="D6" s="82"/>
      <c r="E6" s="82"/>
      <c r="F6" s="82"/>
      <c r="G6" s="82"/>
      <c r="I6" s="82" t="s">
        <v>35</v>
      </c>
      <c r="J6" s="82"/>
      <c r="K6" s="82"/>
      <c r="L6" s="82"/>
      <c r="M6" s="82"/>
    </row>
    <row r="7" spans="1:13" ht="29.1" customHeight="1">
      <c r="A7" s="82"/>
      <c r="C7" s="7" t="s">
        <v>44</v>
      </c>
      <c r="D7" s="3"/>
      <c r="E7" s="7" t="s">
        <v>43</v>
      </c>
      <c r="F7" s="3"/>
      <c r="G7" s="7" t="s">
        <v>45</v>
      </c>
      <c r="I7" s="7" t="s">
        <v>44</v>
      </c>
      <c r="J7" s="3"/>
      <c r="K7" s="7" t="s">
        <v>43</v>
      </c>
      <c r="L7" s="3"/>
      <c r="M7" s="43" t="s">
        <v>45</v>
      </c>
    </row>
    <row r="8" spans="1:13" ht="21.75" customHeight="1">
      <c r="A8" s="5" t="s">
        <v>21</v>
      </c>
      <c r="C8" s="49">
        <v>749314</v>
      </c>
      <c r="D8" s="50"/>
      <c r="E8" s="49">
        <v>0</v>
      </c>
      <c r="F8" s="50"/>
      <c r="G8" s="49">
        <f>C8-E8</f>
        <v>749314</v>
      </c>
      <c r="H8" s="50"/>
      <c r="I8" s="49">
        <v>43065991</v>
      </c>
      <c r="J8" s="50"/>
      <c r="K8" s="49">
        <v>0</v>
      </c>
      <c r="L8" s="50"/>
      <c r="M8" s="51">
        <f>I8-K8</f>
        <v>43065991</v>
      </c>
    </row>
    <row r="9" spans="1:13" ht="21.75" customHeight="1">
      <c r="A9" s="6" t="s">
        <v>82</v>
      </c>
      <c r="C9" s="51">
        <v>0</v>
      </c>
      <c r="D9" s="50"/>
      <c r="E9" s="51">
        <v>0</v>
      </c>
      <c r="F9" s="50"/>
      <c r="G9" s="52">
        <f>C9-E9</f>
        <v>0</v>
      </c>
      <c r="H9" s="50"/>
      <c r="I9" s="51">
        <v>68597864</v>
      </c>
      <c r="J9" s="50"/>
      <c r="K9" s="51">
        <v>0</v>
      </c>
      <c r="L9" s="50"/>
      <c r="M9" s="51">
        <f>I9-K9</f>
        <v>68597864</v>
      </c>
    </row>
    <row r="10" spans="1:13" ht="21.75" customHeight="1">
      <c r="A10" s="18"/>
      <c r="C10" s="53">
        <f>SUM(C8:C9)</f>
        <v>749314</v>
      </c>
      <c r="D10" s="50"/>
      <c r="E10" s="53">
        <v>0</v>
      </c>
      <c r="F10" s="50"/>
      <c r="G10" s="54">
        <f>SUM(G8:G9)</f>
        <v>749314</v>
      </c>
      <c r="H10" s="50"/>
      <c r="I10" s="53">
        <f>SUM(I8:I9)</f>
        <v>111663855</v>
      </c>
      <c r="J10" s="50"/>
      <c r="K10" s="53">
        <v>0</v>
      </c>
      <c r="L10" s="50"/>
      <c r="M10" s="53">
        <f>SUM(M8:M9)</f>
        <v>111663855</v>
      </c>
    </row>
    <row r="11" spans="1:13">
      <c r="C11" s="21"/>
      <c r="G11" s="21"/>
      <c r="I11" s="21"/>
      <c r="M11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گواهی شمش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'گواهی شمش'!Print_Area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2026-05-25T12:44:01Z</dcterms:modified>
</cp:coreProperties>
</file>