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صندوق طلا-12\گزارش پرتفو\1405\01\"/>
    </mc:Choice>
  </mc:AlternateContent>
  <xr:revisionPtr revIDLastSave="0" documentId="13_ncr:1_{1F3ACDD7-4E2A-44EE-B0B9-2D13B1FF9EB8}" xr6:coauthVersionLast="47" xr6:coauthVersionMax="47" xr10:uidLastSave="{00000000-0000-0000-0000-000000000000}"/>
  <bookViews>
    <workbookView xWindow="-120" yWindow="-120" windowWidth="29040" windowHeight="15840" tabRatio="952" xr2:uid="{00000000-000D-0000-FFFF-FFFF00000000}"/>
  </bookViews>
  <sheets>
    <sheet name="0" sheetId="25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24" r:id="rId7"/>
    <sheet name="سود سپرده بانکی" sheetId="18" r:id="rId8"/>
    <sheet name="درآمد ناشی از فروش" sheetId="19" r:id="rId9"/>
    <sheet name="درآمد اعمال اختیار" sheetId="23" r:id="rId10"/>
    <sheet name="درآمد ناشی از تغییر قیمت اوراق" sheetId="21" r:id="rId11"/>
  </sheets>
  <definedNames>
    <definedName name="_xlnm.Print_Area" localSheetId="3">درآمد!$A$1:$K$11</definedName>
    <definedName name="_xlnm.Print_Area" localSheetId="9">'درآمد اعمال اختیار'!$A$1:$L$22</definedName>
    <definedName name="_xlnm.Print_Area" localSheetId="5">'درآمد سپرده بانکی'!$A$1:$J$10</definedName>
    <definedName name="_xlnm.Print_Area" localSheetId="4">'درآمد سرمایه گذاری در سهام'!$A$1:$V$24</definedName>
    <definedName name="_xlnm.Print_Area" localSheetId="10">'درآمد ناشی از تغییر قیمت اوراق'!$A$1:$Q$9</definedName>
    <definedName name="_xlnm.Print_Area" localSheetId="8">'درآمد ناشی از فروش'!$A$1:$Q$10</definedName>
    <definedName name="_xlnm.Print_Area" localSheetId="6">'سایر درآمدها'!$A$1:$G$18</definedName>
    <definedName name="_xlnm.Print_Area" localSheetId="2">سپرده!$A$1:$L$11</definedName>
    <definedName name="_xlnm.Print_Area" localSheetId="7">'سود سپرده بانکی'!$A$1:$N$10</definedName>
    <definedName name="_xlnm.Print_Area" localSheetId="1">سهام!$A$1:$Y$10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" i="19" l="1"/>
  <c r="I8" i="19"/>
  <c r="Q8" i="19"/>
  <c r="G9" i="9"/>
  <c r="G9" i="13"/>
  <c r="G8" i="13"/>
  <c r="C9" i="13"/>
  <c r="C8" i="13"/>
  <c r="K10" i="7"/>
  <c r="K9" i="7"/>
  <c r="I11" i="7"/>
  <c r="I9" i="7"/>
  <c r="I10" i="7"/>
  <c r="Y9" i="2"/>
  <c r="Y10" i="2" s="1"/>
  <c r="K10" i="9"/>
  <c r="I10" i="9"/>
  <c r="G15" i="9"/>
  <c r="Q16" i="9"/>
  <c r="S16" i="9" s="1"/>
  <c r="O9" i="9"/>
  <c r="E21" i="23"/>
  <c r="F21" i="23"/>
  <c r="H21" i="23"/>
  <c r="L21" i="23"/>
  <c r="J21" i="23"/>
  <c r="O10" i="2"/>
  <c r="M9" i="18"/>
  <c r="M8" i="18"/>
  <c r="G9" i="18"/>
  <c r="G8" i="18"/>
  <c r="I10" i="18"/>
  <c r="C10" i="18"/>
  <c r="U10" i="2"/>
  <c r="A3" i="21"/>
  <c r="A3" i="23"/>
  <c r="A3" i="19"/>
  <c r="A3" i="24"/>
  <c r="A3" i="18"/>
  <c r="A3" i="13"/>
  <c r="A3" i="9"/>
  <c r="A3" i="8"/>
  <c r="A3" i="7"/>
  <c r="A1" i="21"/>
  <c r="A1" i="23"/>
  <c r="G16" i="9" s="1"/>
  <c r="I16" i="9" s="1"/>
  <c r="K16" i="9" s="1"/>
  <c r="A1" i="19"/>
  <c r="Q10" i="9" s="1"/>
  <c r="S10" i="9" s="1"/>
  <c r="A1" i="24"/>
  <c r="A1" i="18"/>
  <c r="A1" i="13"/>
  <c r="A1" i="9"/>
  <c r="A1" i="8"/>
  <c r="A1" i="7"/>
  <c r="Q15" i="9" l="1"/>
  <c r="S15" i="9" s="1"/>
  <c r="G14" i="9"/>
  <c r="Q14" i="9"/>
  <c r="S14" i="9" s="1"/>
  <c r="G13" i="9"/>
  <c r="I13" i="9" s="1"/>
  <c r="K13" i="9" s="1"/>
  <c r="Q9" i="9"/>
  <c r="S9" i="9" s="1"/>
  <c r="Q13" i="9"/>
  <c r="S13" i="9" s="1"/>
  <c r="G12" i="9"/>
  <c r="I12" i="9" s="1"/>
  <c r="K12" i="9" s="1"/>
  <c r="Q12" i="9"/>
  <c r="S12" i="9" s="1"/>
  <c r="G11" i="9"/>
  <c r="Q11" i="9"/>
  <c r="S11" i="9" s="1"/>
  <c r="G22" i="9"/>
  <c r="I22" i="9" s="1"/>
  <c r="K22" i="9" s="1"/>
  <c r="Q22" i="9"/>
  <c r="S22" i="9" s="1"/>
  <c r="G21" i="9"/>
  <c r="I21" i="9" s="1"/>
  <c r="K21" i="9" s="1"/>
  <c r="Q21" i="9"/>
  <c r="S21" i="9" s="1"/>
  <c r="G20" i="9"/>
  <c r="I20" i="9" s="1"/>
  <c r="K20" i="9" s="1"/>
  <c r="E9" i="9"/>
  <c r="I9" i="9" s="1"/>
  <c r="K9" i="9" s="1"/>
  <c r="Q20" i="9"/>
  <c r="S20" i="9" s="1"/>
  <c r="G19" i="9"/>
  <c r="I19" i="9" s="1"/>
  <c r="K19" i="9" s="1"/>
  <c r="I15" i="9"/>
  <c r="K15" i="9" s="1"/>
  <c r="Q19" i="9"/>
  <c r="S19" i="9" s="1"/>
  <c r="G18" i="9"/>
  <c r="I18" i="9" s="1"/>
  <c r="K18" i="9" s="1"/>
  <c r="Q18" i="9"/>
  <c r="S18" i="9" s="1"/>
  <c r="G17" i="9"/>
  <c r="I17" i="9" s="1"/>
  <c r="K17" i="9" s="1"/>
  <c r="Q17" i="9"/>
  <c r="S17" i="9" s="1"/>
  <c r="I9" i="21"/>
  <c r="M10" i="18"/>
  <c r="G10" i="13"/>
  <c r="I9" i="13" s="1"/>
  <c r="G10" i="18"/>
  <c r="C10" i="13"/>
  <c r="D9" i="24"/>
  <c r="F9" i="24"/>
  <c r="F10" i="8" s="1"/>
  <c r="J10" i="8" s="1"/>
  <c r="I14" i="9" l="1"/>
  <c r="K14" i="9" s="1"/>
  <c r="Q23" i="9"/>
  <c r="S23" i="9"/>
  <c r="I11" i="9"/>
  <c r="K11" i="9" s="1"/>
  <c r="K23" i="9" s="1"/>
  <c r="I8" i="13"/>
  <c r="I10" i="13" s="1"/>
  <c r="E8" i="13"/>
  <c r="F9" i="8"/>
  <c r="J9" i="8" s="1"/>
  <c r="M23" i="9"/>
  <c r="C23" i="9"/>
  <c r="C9" i="21"/>
  <c r="E9" i="21"/>
  <c r="G9" i="21"/>
  <c r="K9" i="21"/>
  <c r="M9" i="21"/>
  <c r="O9" i="21"/>
  <c r="E9" i="13"/>
  <c r="K10" i="19"/>
  <c r="C10" i="19"/>
  <c r="E10" i="19"/>
  <c r="G10" i="19"/>
  <c r="I10" i="19"/>
  <c r="O10" i="19"/>
  <c r="M10" i="19"/>
  <c r="E10" i="13" l="1"/>
  <c r="E23" i="9"/>
  <c r="O23" i="9"/>
  <c r="I23" i="9"/>
  <c r="G23" i="9"/>
  <c r="F8" i="8"/>
  <c r="J8" i="8" s="1"/>
  <c r="J11" i="8" s="1"/>
  <c r="Q9" i="21"/>
  <c r="Q10" i="19"/>
  <c r="C11" i="7"/>
  <c r="E11" i="7"/>
  <c r="G11" i="7"/>
  <c r="W10" i="2"/>
  <c r="Q10" i="2"/>
  <c r="M10" i="2"/>
  <c r="K10" i="2"/>
  <c r="I10" i="2"/>
  <c r="G10" i="2"/>
  <c r="E10" i="2"/>
  <c r="C10" i="2"/>
  <c r="F11" i="8" l="1"/>
  <c r="K11" i="7"/>
  <c r="U10" i="9" l="1"/>
  <c r="U15" i="9"/>
  <c r="U22" i="9"/>
  <c r="U18" i="9"/>
  <c r="U16" i="9"/>
  <c r="H8" i="8"/>
  <c r="U13" i="9"/>
  <c r="U21" i="9"/>
  <c r="U12" i="9"/>
  <c r="U17" i="9"/>
  <c r="H10" i="8"/>
  <c r="U19" i="9"/>
  <c r="U14" i="9"/>
  <c r="U20" i="9"/>
  <c r="H9" i="8"/>
  <c r="U9" i="9"/>
  <c r="U11" i="9"/>
  <c r="H11" i="8" l="1"/>
  <c r="U23" i="9"/>
</calcChain>
</file>

<file path=xl/sharedStrings.xml><?xml version="1.0" encoding="utf-8"?>
<sst xmlns="http://schemas.openxmlformats.org/spreadsheetml/2006/main" count="181" uniqueCount="88">
  <si>
    <t>صورت وضعیت پرتفوی</t>
  </si>
  <si>
    <t>تغییرات طی دوره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</si>
  <si>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</si>
  <si>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</si>
  <si>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</si>
  <si>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</si>
  <si>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</si>
  <si>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</si>
  <si>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</si>
  <si>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</si>
  <si>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 خرید گواهی سپرده پیوسته شمش طلای +995 GBBA04C1000 10000000.0000-1404/11/19</t>
  </si>
  <si>
    <t>اختیار خرید گواهی سپرده پیوسته شمش طلای +995 GBBA04C1050 10500000.0000-1404/11/19</t>
  </si>
  <si>
    <t>اختیار خرید گواهی سپرده پیوسته شمش طلای +995 GBBA04C800 8000000.0000-1404/11/19</t>
  </si>
  <si>
    <t>اختیار خرید گواهی سپرده پیوسته شمش طلای +995 GBBA04C900 9000000.0000-1404/11/19</t>
  </si>
  <si>
    <t>اختیار خرید گواهی سپرده پیوسته شمش طلای +995 GBBA04C950 9500000.0000-1404/11/19</t>
  </si>
  <si>
    <t>شمش طلا GoldBar</t>
  </si>
  <si>
    <t>جمع</t>
  </si>
  <si>
    <t>تاریخ اعمال</t>
  </si>
  <si>
    <t>مبلغ</t>
  </si>
  <si>
    <t>افزایش</t>
  </si>
  <si>
    <t>کاهش</t>
  </si>
  <si>
    <t>سپرده کوتاه مدت بانک پاسارگاد جهان کودک</t>
  </si>
  <si>
    <t>سپرده کوتاه مدت بانک ملت وصال شیرازی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</si>
  <si>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</si>
  <si>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</si>
  <si>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</si>
  <si>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</si>
  <si>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</si>
  <si>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</si>
  <si>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</si>
  <si>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</si>
  <si>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</si>
  <si>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</si>
  <si>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سپرده بانکی و گواهی سپرده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</si>
  <si>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</si>
  <si>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</si>
  <si>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</si>
  <si>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</si>
  <si>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</si>
  <si>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سکه طلا GoldCoin</t>
  </si>
  <si>
    <t>نام سپرده بانکی</t>
  </si>
  <si>
    <t>سود سپرده بانکی و گواهی سپرده</t>
  </si>
  <si>
    <t>درصد سود به میانگین سپرده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</si>
  <si>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</si>
  <si>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</si>
  <si>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</si>
  <si>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</si>
  <si>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</si>
  <si>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</si>
  <si>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</si>
  <si>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</si>
  <si>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</si>
  <si>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</si>
  <si>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کارمزد اعمال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</si>
  <si>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</si>
  <si>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</si>
  <si>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</si>
  <si>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</si>
  <si>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1-سرمایه گذاری ها</t>
  </si>
  <si>
    <t>1-1-سرمایه گذاری در سهام و حق تقدم سهام</t>
  </si>
  <si>
    <t>2-1-سرمایه‌گذاری در  سپرده‌ بانکی</t>
  </si>
  <si>
    <t>1-2-درآمد حاصل از سرمایه­گذاری در سهام و حق تقدم سهام</t>
  </si>
  <si>
    <t>2-2-درآمد حاصل از سرمایه­گذاری در سپرده بانکی و گواهی سپرده</t>
  </si>
  <si>
    <t>اختیار خرید گواهی سپرده پیوسته شمش طلای +995 GBAB04C1000 10000000.0000-1404/08/18</t>
  </si>
  <si>
    <t>اختیار خرید گواهی سپرده پیوسته شمش طلای +995 GBAB04C1050 10500000.0000-1404/08/18</t>
  </si>
  <si>
    <t>اختیار خرید گواهی سپرده پیوسته شمش طلای +995 GBAB04C800 8000000.0000-1404/08/18</t>
  </si>
  <si>
    <t>اختیار خرید گواهی سپرده پیوسته شمش طلای +995 GBAB04C900 9000000.0000-1404/08/18</t>
  </si>
  <si>
    <t>اختیار خرید گواهی سپرده پیوسته شمش طلای +995 GBAB04C950 9500000.0000-1404/08/18</t>
  </si>
  <si>
    <t>اختیار خرید گواهی سپرده پیوسته شمش طلای +995 GBAB04C1100 11000000.0000-1404/08/18</t>
  </si>
  <si>
    <t>اختیار خرید گواهی سپرده پیوسته شمش طلای +995 GBAB04C1200 12000000.0000-1404/08/18</t>
  </si>
  <si>
    <t>1404/08/18</t>
  </si>
  <si>
    <t>تعدیل کارمزد کارگزار</t>
  </si>
  <si>
    <t>سایر درآمدها</t>
  </si>
  <si>
    <t>-3-2</t>
  </si>
  <si>
    <t>سایر درآمد</t>
  </si>
  <si>
    <t>2-3</t>
  </si>
  <si>
    <t>.</t>
  </si>
  <si>
    <t>در اجرای ابلاغیه شماره 12020093 مورخ 1396/09/05 سازمان بورس و اوراق بهادار</t>
  </si>
  <si>
    <t>‫صورت وضعیت پورتفوی</t>
  </si>
  <si>
    <t>صندوق سرمایه گذاری کالایی درفش دماوند</t>
  </si>
  <si>
    <t>1404/11/30</t>
  </si>
  <si>
    <t>1404/11/19</t>
  </si>
  <si>
    <t>‫برای ماه منتهی به 31 فروردین ماه 1405</t>
  </si>
  <si>
    <t>1404/12/29</t>
  </si>
  <si>
    <t>برای ماه منتهی به 1405/01/31</t>
  </si>
  <si>
    <t>1405/01/31</t>
  </si>
  <si>
    <t>سپرده کوتاه مدت بانک ملت ظفر</t>
  </si>
  <si>
    <t>140501/31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</si>
</sst>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8"/>
      <name val="Arial"/>
      <family val="2"/>
    </font>
    <font>
      <sz val="11"/>
      <name val="Calibri"/>
      <family val="2"/>
    </font>
    <font>
      <sz val="12"/>
      <name val="B Nazanin"/>
      <charset val="178"/>
    </font>
    <font>
      <sz val="12"/>
      <color theme="0"/>
      <name val="B Nazanin"/>
      <charset val="178"/>
    </font>
    <font>
      <sz val="11"/>
      <color indexed="8"/>
      <name val="Calibri"/>
      <family val="2"/>
      <scheme val="minor"/>
    </font>
    <font>
      <sz val="12"/>
      <color indexed="8"/>
      <name val="B Nazanin"/>
      <charset val="178"/>
    </font>
    <font>
      <b/>
      <u/>
      <sz val="12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6">
    <xf numFmtId="0" fontId="0" fillId="0" borderId="0"/>
    <xf numFmtId="0" fontId="6" fillId="0" borderId="0"/>
    <xf numFmtId="0" fontId="8" fillId="0" borderId="0"/>
    <xf numFmtId="0" fontId="11" fillId="0" borderId="0"/>
    <xf numFmtId="164" fontId="14" fillId="0" borderId="0" applyFont="0" applyFill="0" applyBorder="0" applyAlignment="0" applyProtection="0"/>
    <xf numFmtId="0" fontId="1" fillId="0" borderId="0"/>
  </cellStyleXfs>
  <cellXfs count="7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4" fillId="0" borderId="4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37" fontId="5" fillId="0" borderId="2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37" fontId="5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1" applyAlignment="1">
      <alignment horizontal="left"/>
    </xf>
    <xf numFmtId="0" fontId="4" fillId="0" borderId="6" xfId="1" applyFont="1" applyBorder="1" applyAlignment="1">
      <alignment horizontal="center" vertical="center" wrapText="1"/>
    </xf>
    <xf numFmtId="0" fontId="6" fillId="0" borderId="2" xfId="1" applyBorder="1" applyAlignment="1">
      <alignment horizontal="left"/>
    </xf>
    <xf numFmtId="0" fontId="4" fillId="0" borderId="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37" fontId="5" fillId="0" borderId="0" xfId="1" applyNumberFormat="1" applyFont="1" applyAlignment="1">
      <alignment horizontal="center" vertical="center"/>
    </xf>
    <xf numFmtId="37" fontId="5" fillId="0" borderId="7" xfId="1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49" fontId="3" fillId="0" borderId="0" xfId="1" applyNumberFormat="1" applyFont="1" applyAlignment="1">
      <alignment horizontal="right" vertical="center"/>
    </xf>
    <xf numFmtId="37" fontId="5" fillId="0" borderId="4" xfId="1" applyNumberFormat="1" applyFont="1" applyBorder="1" applyAlignment="1">
      <alignment horizontal="center" vertical="center"/>
    </xf>
    <xf numFmtId="37" fontId="6" fillId="0" borderId="0" xfId="1" applyNumberFormat="1" applyAlignment="1">
      <alignment horizontal="center" vertical="center"/>
    </xf>
    <xf numFmtId="37" fontId="5" fillId="0" borderId="5" xfId="1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37" fontId="0" fillId="0" borderId="0" xfId="0" applyNumberFormat="1" applyAlignment="1">
      <alignment horizontal="left"/>
    </xf>
    <xf numFmtId="0" fontId="9" fillId="0" borderId="0" xfId="2" applyFont="1"/>
    <xf numFmtId="0" fontId="10" fillId="0" borderId="0" xfId="2" applyFont="1"/>
    <xf numFmtId="0" fontId="12" fillId="0" borderId="0" xfId="3" applyFont="1"/>
    <xf numFmtId="3" fontId="0" fillId="0" borderId="0" xfId="0" applyNumberFormat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164" fontId="0" fillId="0" borderId="0" xfId="4" applyFont="1" applyAlignment="1">
      <alignment horizontal="left"/>
    </xf>
    <xf numFmtId="37" fontId="13" fillId="0" borderId="0" xfId="3" applyNumberFormat="1" applyFont="1" applyAlignment="1">
      <alignment horizontal="center" vertical="center"/>
    </xf>
    <xf numFmtId="37" fontId="13" fillId="0" borderId="0" xfId="3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4" fillId="0" borderId="4" xfId="1" applyFont="1" applyBorder="1" applyAlignment="1">
      <alignment horizontal="center" vertical="center"/>
    </xf>
  </cellXfs>
  <cellStyles count="6">
    <cellStyle name="Comma" xfId="4" builtinId="3"/>
    <cellStyle name="Normal" xfId="0" builtinId="0"/>
    <cellStyle name="Normal 2" xfId="1" xr:uid="{97F292BD-A027-4234-A894-DCEB32A59C53}"/>
    <cellStyle name="Normal 2 3" xfId="2" xr:uid="{F37677BA-7B71-4671-B820-D228169998FE}"/>
    <cellStyle name="Normal 3" xfId="5" xr:uid="{C612CF76-5B3F-4FF2-BBFC-4D01A6F12B81}"/>
    <cellStyle name="Normal 4" xfId="3" xr:uid="{768FB3C2-6F59-4F50-95D8-1EED574D5D4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592291</xdr:colOff>
      <xdr:row>0</xdr:row>
      <xdr:rowOff>171449</xdr:rowOff>
    </xdr:from>
    <xdr:to>
      <xdr:col>7</xdr:col>
      <xdr:colOff>552450</xdr:colOff>
      <xdr:row>14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87B29D-7F8A-E864-19E4-FEB5D7394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866750" y="171449"/>
          <a:ext cx="4227359" cy="3162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B5B49-CA68-4AFB-8C07-B87DB20249E7}">
  <sheetPr>
    <tabColor rgb="FF92D050"/>
  </sheetPr>
  <dimension ref="A15:I27"/>
  <sheetViews>
    <sheetView rightToLeft="1" tabSelected="1" view="pageBreakPreview" zoomScaleNormal="100" zoomScaleSheetLayoutView="100" workbookViewId="0">
      <selection activeCell="K20" sqref="K20"/>
    </sheetView>
  </sheetViews>
  <sheetFormatPr defaultRowHeight="18.75"/>
  <cols>
    <col min="1" max="16384" width="9.140625" style="49"/>
  </cols>
  <sheetData>
    <row r="15" spans="1:9" ht="33.75" customHeight="1">
      <c r="A15" s="57" t="s">
        <v>79</v>
      </c>
      <c r="B15" s="57"/>
      <c r="C15" s="57"/>
      <c r="D15" s="57"/>
      <c r="E15" s="57"/>
      <c r="F15" s="57"/>
      <c r="G15" s="57"/>
      <c r="H15" s="57"/>
      <c r="I15" s="57"/>
    </row>
    <row r="16" spans="1:9" ht="33.75" customHeight="1">
      <c r="A16" s="57" t="s">
        <v>78</v>
      </c>
      <c r="B16" s="57"/>
      <c r="C16" s="57"/>
      <c r="D16" s="57"/>
      <c r="E16" s="57"/>
      <c r="F16" s="57"/>
      <c r="G16" s="57"/>
      <c r="H16" s="57"/>
      <c r="I16" s="57"/>
    </row>
    <row r="17" spans="1:9" ht="33.75" customHeight="1">
      <c r="A17" s="58" t="s">
        <v>77</v>
      </c>
      <c r="B17" s="58"/>
      <c r="C17" s="58"/>
      <c r="D17" s="58"/>
      <c r="E17" s="58"/>
      <c r="F17" s="58"/>
      <c r="G17" s="58"/>
      <c r="H17" s="58"/>
      <c r="I17" s="58"/>
    </row>
    <row r="18" spans="1:9" ht="33.75" customHeight="1">
      <c r="A18" s="57" t="s">
        <v>82</v>
      </c>
      <c r="B18" s="57"/>
      <c r="C18" s="57"/>
      <c r="D18" s="57"/>
      <c r="E18" s="57"/>
      <c r="F18" s="57"/>
      <c r="G18" s="57"/>
      <c r="H18" s="57"/>
      <c r="I18" s="57"/>
    </row>
    <row r="19" spans="1:9">
      <c r="A19" s="51"/>
      <c r="B19" s="51"/>
      <c r="C19" s="51"/>
      <c r="D19" s="51"/>
      <c r="E19" s="51"/>
      <c r="F19" s="51"/>
      <c r="G19" s="51"/>
      <c r="H19" s="51"/>
      <c r="I19" s="51"/>
    </row>
    <row r="20" spans="1:9">
      <c r="A20" s="51"/>
      <c r="B20" s="51"/>
      <c r="C20" s="51"/>
      <c r="D20" s="51"/>
      <c r="E20" s="51"/>
      <c r="F20" s="51"/>
      <c r="G20" s="51"/>
      <c r="H20" s="51"/>
      <c r="I20" s="51"/>
    </row>
    <row r="21" spans="1:9">
      <c r="A21" s="51"/>
      <c r="B21" s="51"/>
      <c r="C21" s="51"/>
      <c r="D21" s="51"/>
      <c r="E21" s="51"/>
      <c r="F21" s="51"/>
      <c r="G21" s="51"/>
      <c r="H21" s="51"/>
      <c r="I21" s="51"/>
    </row>
    <row r="22" spans="1:9">
      <c r="A22" s="51"/>
      <c r="B22" s="51"/>
      <c r="C22" s="51"/>
      <c r="D22" s="51"/>
      <c r="E22" s="51"/>
      <c r="F22" s="51"/>
      <c r="G22" s="51"/>
      <c r="H22" s="51"/>
      <c r="I22" s="51"/>
    </row>
    <row r="23" spans="1:9">
      <c r="A23" s="51"/>
      <c r="B23" s="51"/>
      <c r="C23" s="51"/>
      <c r="D23" s="51"/>
      <c r="E23" s="51"/>
      <c r="F23" s="51"/>
      <c r="G23" s="51"/>
      <c r="H23" s="51"/>
      <c r="I23" s="51"/>
    </row>
    <row r="24" spans="1:9" ht="34.5" customHeight="1">
      <c r="A24" s="51"/>
      <c r="B24" s="51"/>
      <c r="C24" s="51"/>
      <c r="D24" s="51"/>
      <c r="E24" s="51"/>
      <c r="F24" s="51"/>
      <c r="G24" s="51"/>
      <c r="H24" s="51"/>
      <c r="I24" s="51"/>
    </row>
    <row r="27" spans="1:9">
      <c r="C27" s="50" t="s">
        <v>76</v>
      </c>
    </row>
  </sheetData>
  <mergeCells count="4">
    <mergeCell ref="A15:I15"/>
    <mergeCell ref="A16:I16"/>
    <mergeCell ref="A17:I17"/>
    <mergeCell ref="A18:I18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09FB6-A531-4B1E-A3C2-95E212045420}">
  <sheetPr>
    <tabColor rgb="FF92D050"/>
    <pageSetUpPr fitToPage="1"/>
  </sheetPr>
  <dimension ref="A1:L22"/>
  <sheetViews>
    <sheetView rightToLeft="1" view="pageBreakPreview" zoomScale="96" zoomScaleNormal="100" zoomScaleSheetLayoutView="96" workbookViewId="0">
      <selection activeCell="N30" sqref="N30"/>
    </sheetView>
  </sheetViews>
  <sheetFormatPr defaultRowHeight="12.75"/>
  <cols>
    <col min="1" max="1" width="98.85546875" style="34" bestFit="1" customWidth="1"/>
    <col min="2" max="2" width="1.28515625" style="34" customWidth="1"/>
    <col min="3" max="3" width="11" style="34" bestFit="1" customWidth="1"/>
    <col min="4" max="4" width="1.28515625" style="34" customWidth="1"/>
    <col min="5" max="5" width="10.42578125" style="34" customWidth="1"/>
    <col min="6" max="6" width="16.140625" style="34" customWidth="1"/>
    <col min="7" max="7" width="1.28515625" style="34" customWidth="1"/>
    <col min="8" max="8" width="15.42578125" style="34" customWidth="1"/>
    <col min="9" max="9" width="1.28515625" style="34" customWidth="1"/>
    <col min="10" max="10" width="15.5703125" style="34" customWidth="1"/>
    <col min="11" max="11" width="1.28515625" style="34" customWidth="1"/>
    <col min="12" max="12" width="15.5703125" style="34" customWidth="1"/>
    <col min="13" max="16384" width="9.140625" style="34"/>
  </cols>
  <sheetData>
    <row r="1" spans="1:12" ht="25.5">
      <c r="A1" s="70" t="str">
        <f>سهام!A1</f>
        <v>صندوق سرمایه گذاری کالایی درفش دماوند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25.5">
      <c r="A2" s="70" t="s">
        <v>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ht="25.5">
      <c r="A3" s="70" t="str">
        <f>سهام!A3</f>
        <v>برای ماه منتهی به 1405/01/31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ht="7.35" customHeight="1"/>
    <row r="5" spans="1:12" ht="24">
      <c r="A5" s="71" t="s">
        <v>51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</row>
    <row r="6" spans="1:12" ht="7.35" customHeight="1"/>
    <row r="7" spans="1:12" ht="14.45" customHeight="1">
      <c r="C7" s="72" t="s">
        <v>34</v>
      </c>
      <c r="D7" s="72"/>
      <c r="E7" s="72"/>
      <c r="F7" s="72"/>
      <c r="G7" s="72"/>
      <c r="H7" s="72"/>
      <c r="I7" s="72"/>
      <c r="J7" s="72"/>
      <c r="L7" s="37" t="s">
        <v>35</v>
      </c>
    </row>
    <row r="8" spans="1:12" ht="21">
      <c r="A8" s="37" t="s">
        <v>52</v>
      </c>
      <c r="C8" s="35" t="s">
        <v>17</v>
      </c>
      <c r="D8" s="36"/>
      <c r="E8" s="35" t="s">
        <v>4</v>
      </c>
      <c r="F8" s="35" t="s">
        <v>53</v>
      </c>
      <c r="G8" s="36"/>
      <c r="H8" s="35" t="s">
        <v>54</v>
      </c>
      <c r="I8" s="36"/>
      <c r="J8" s="35" t="s">
        <v>55</v>
      </c>
      <c r="L8" s="35" t="s">
        <v>55</v>
      </c>
    </row>
    <row r="9" spans="1:12" ht="18.75">
      <c r="A9" s="6" t="s">
        <v>63</v>
      </c>
      <c r="C9" s="38" t="s">
        <v>70</v>
      </c>
      <c r="E9" s="39">
        <v>0</v>
      </c>
      <c r="F9" s="39">
        <v>0</v>
      </c>
      <c r="G9" s="39"/>
      <c r="H9" s="39">
        <v>0</v>
      </c>
      <c r="I9" s="39"/>
      <c r="J9" s="39">
        <v>0</v>
      </c>
      <c r="K9" s="39"/>
      <c r="L9" s="39">
        <v>2323243497</v>
      </c>
    </row>
    <row r="10" spans="1:12" ht="18.75">
      <c r="A10" s="6" t="s">
        <v>64</v>
      </c>
      <c r="C10" s="38" t="s">
        <v>70</v>
      </c>
      <c r="E10" s="39">
        <v>0</v>
      </c>
      <c r="F10" s="39">
        <v>0</v>
      </c>
      <c r="G10" s="39"/>
      <c r="H10" s="39">
        <v>0</v>
      </c>
      <c r="I10" s="39"/>
      <c r="J10" s="39">
        <v>0</v>
      </c>
      <c r="K10" s="39"/>
      <c r="L10" s="39">
        <v>950536282</v>
      </c>
    </row>
    <row r="11" spans="1:12" ht="18.75">
      <c r="A11" s="6" t="s">
        <v>65</v>
      </c>
      <c r="C11" s="38" t="s">
        <v>70</v>
      </c>
      <c r="E11" s="39">
        <v>0</v>
      </c>
      <c r="F11" s="39">
        <v>0</v>
      </c>
      <c r="G11" s="39"/>
      <c r="H11" s="39">
        <v>0</v>
      </c>
      <c r="I11" s="39"/>
      <c r="J11" s="39">
        <v>0</v>
      </c>
      <c r="K11" s="39"/>
      <c r="L11" s="39">
        <v>11623371119</v>
      </c>
    </row>
    <row r="12" spans="1:12" ht="18.75">
      <c r="A12" s="6" t="s">
        <v>66</v>
      </c>
      <c r="C12" s="38" t="s">
        <v>70</v>
      </c>
      <c r="E12" s="39">
        <v>0</v>
      </c>
      <c r="F12" s="39">
        <v>0</v>
      </c>
      <c r="G12" s="39"/>
      <c r="H12" s="39">
        <v>0</v>
      </c>
      <c r="I12" s="39"/>
      <c r="J12" s="39">
        <v>0</v>
      </c>
      <c r="K12" s="39"/>
      <c r="L12" s="39">
        <v>9403317173</v>
      </c>
    </row>
    <row r="13" spans="1:12" ht="18.75">
      <c r="A13" s="6" t="s">
        <v>67</v>
      </c>
      <c r="C13" s="38" t="s">
        <v>70</v>
      </c>
      <c r="E13" s="39">
        <v>0</v>
      </c>
      <c r="F13" s="39">
        <v>0</v>
      </c>
      <c r="G13" s="39"/>
      <c r="H13" s="39">
        <v>0</v>
      </c>
      <c r="I13" s="39"/>
      <c r="J13" s="39">
        <v>0</v>
      </c>
      <c r="K13" s="39"/>
      <c r="L13" s="39">
        <v>3737822385</v>
      </c>
    </row>
    <row r="14" spans="1:12" ht="18.75">
      <c r="A14" s="6" t="s">
        <v>68</v>
      </c>
      <c r="C14" s="38" t="s">
        <v>70</v>
      </c>
      <c r="E14" s="39">
        <v>0</v>
      </c>
      <c r="F14" s="39">
        <v>0</v>
      </c>
      <c r="G14" s="39"/>
      <c r="H14" s="39">
        <v>0</v>
      </c>
      <c r="I14" s="39"/>
      <c r="J14" s="39">
        <v>0</v>
      </c>
      <c r="K14" s="39"/>
      <c r="L14" s="39">
        <v>993815288</v>
      </c>
    </row>
    <row r="15" spans="1:12" ht="18.75">
      <c r="A15" s="6" t="s">
        <v>69</v>
      </c>
      <c r="C15" s="38" t="s">
        <v>70</v>
      </c>
      <c r="E15" s="39">
        <v>0</v>
      </c>
      <c r="F15" s="39">
        <v>0</v>
      </c>
      <c r="G15" s="39"/>
      <c r="H15" s="39">
        <v>0</v>
      </c>
      <c r="I15" s="39"/>
      <c r="J15" s="39">
        <v>0</v>
      </c>
      <c r="K15" s="39"/>
      <c r="L15" s="39">
        <v>824652506</v>
      </c>
    </row>
    <row r="16" spans="1:12" ht="18.75">
      <c r="A16" s="6" t="s">
        <v>10</v>
      </c>
      <c r="C16" s="38" t="s">
        <v>81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/>
      <c r="L16" s="39">
        <v>7851327396</v>
      </c>
    </row>
    <row r="17" spans="1:12" ht="18.75">
      <c r="A17" s="6" t="s">
        <v>11</v>
      </c>
      <c r="C17" s="38" t="s">
        <v>81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/>
      <c r="L17" s="39">
        <v>13506334256</v>
      </c>
    </row>
    <row r="18" spans="1:12" ht="18.75">
      <c r="A18" s="6" t="s">
        <v>12</v>
      </c>
      <c r="C18" s="38" t="s">
        <v>81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/>
      <c r="L18" s="39">
        <v>12192942597</v>
      </c>
    </row>
    <row r="19" spans="1:12" ht="18.75">
      <c r="A19" s="6" t="s">
        <v>13</v>
      </c>
      <c r="C19" s="38" t="s">
        <v>81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/>
      <c r="L19" s="39">
        <v>21986883549</v>
      </c>
    </row>
    <row r="20" spans="1:12" ht="18.75">
      <c r="A20" s="6" t="s">
        <v>14</v>
      </c>
      <c r="C20" s="38" t="s">
        <v>81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/>
      <c r="L20" s="39">
        <v>7953236119</v>
      </c>
    </row>
    <row r="21" spans="1:12" ht="19.5" thickBot="1">
      <c r="E21" s="40">
        <f>SUM(E9:E20)</f>
        <v>0</v>
      </c>
      <c r="F21" s="40">
        <f>SUM(F9:F20)</f>
        <v>0</v>
      </c>
      <c r="G21" s="39"/>
      <c r="H21" s="40">
        <f>SUM(H9:H20)</f>
        <v>0</v>
      </c>
      <c r="I21" s="39"/>
      <c r="J21" s="40">
        <f>SUM(J9:J20)</f>
        <v>0</v>
      </c>
      <c r="K21" s="39"/>
      <c r="L21" s="40">
        <f>SUM(L9:L20)</f>
        <v>93347482167</v>
      </c>
    </row>
    <row r="22" spans="1:12" ht="13.5" thickTop="1"/>
  </sheetData>
  <mergeCells count="5">
    <mergeCell ref="C7:J7"/>
    <mergeCell ref="A1:L1"/>
    <mergeCell ref="A2:L2"/>
    <mergeCell ref="A3:L3"/>
    <mergeCell ref="A5:L5"/>
  </mergeCells>
  <phoneticPr fontId="7" type="noConversion"/>
  <pageMargins left="0.39" right="0.39" top="0.39" bottom="0.39" header="0" footer="0"/>
  <pageSetup scale="7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14"/>
  <sheetViews>
    <sheetView rightToLeft="1" view="pageBreakPreview" zoomScaleNormal="100" zoomScaleSheetLayoutView="100" workbookViewId="0">
      <selection activeCell="Q41" sqref="Q41"/>
    </sheetView>
  </sheetViews>
  <sheetFormatPr defaultRowHeight="12.75"/>
  <cols>
    <col min="1" max="1" width="81.28515625" bestFit="1" customWidth="1"/>
    <col min="2" max="2" width="1.28515625" customWidth="1"/>
    <col min="3" max="3" width="9.85546875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9.85546875" bestFit="1" customWidth="1"/>
    <col min="12" max="12" width="1.28515625" customWidth="1"/>
    <col min="13" max="13" width="19" bestFit="1" customWidth="1"/>
    <col min="14" max="14" width="1.28515625" customWidth="1"/>
    <col min="15" max="15" width="18.85546875" bestFit="1" customWidth="1"/>
    <col min="16" max="16" width="1.28515625" customWidth="1"/>
    <col min="17" max="17" width="26.28515625" bestFit="1" customWidth="1"/>
    <col min="18" max="18" width="13.85546875" bestFit="1" customWidth="1"/>
  </cols>
  <sheetData>
    <row r="1" spans="1:18" ht="29.1" customHeight="1">
      <c r="A1" s="61" t="str">
        <f>سهام!A1</f>
        <v>صندوق سرمایه گذاری کالایی درفش دماوند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8" ht="21.75" customHeight="1">
      <c r="A2" s="61" t="s">
        <v>23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8" ht="21.75" customHeight="1">
      <c r="A3" s="61" t="str">
        <f>سهام!A3</f>
        <v>برای ماه منتهی به 1405/01/31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8" ht="14.45" customHeight="1"/>
    <row r="5" spans="1:18" ht="14.45" customHeight="1">
      <c r="A5" s="67" t="s">
        <v>56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spans="1:18" ht="14.45" customHeight="1">
      <c r="A6" s="62" t="s">
        <v>26</v>
      </c>
      <c r="C6" s="62" t="s">
        <v>34</v>
      </c>
      <c r="D6" s="62"/>
      <c r="E6" s="62"/>
      <c r="F6" s="62"/>
      <c r="G6" s="62"/>
      <c r="H6" s="62"/>
      <c r="I6" s="62"/>
      <c r="K6" s="62" t="s">
        <v>35</v>
      </c>
      <c r="L6" s="62"/>
      <c r="M6" s="62"/>
      <c r="N6" s="62"/>
      <c r="O6" s="62"/>
      <c r="P6" s="62"/>
      <c r="Q6" s="62"/>
    </row>
    <row r="7" spans="1:18" ht="29.1" customHeight="1">
      <c r="A7" s="62"/>
      <c r="C7" s="7" t="s">
        <v>4</v>
      </c>
      <c r="D7" s="3"/>
      <c r="E7" s="7" t="s">
        <v>6</v>
      </c>
      <c r="F7" s="3"/>
      <c r="G7" s="7" t="s">
        <v>49</v>
      </c>
      <c r="H7" s="3"/>
      <c r="I7" s="7" t="s">
        <v>57</v>
      </c>
      <c r="K7" s="7" t="s">
        <v>4</v>
      </c>
      <c r="L7" s="3"/>
      <c r="M7" s="7" t="s">
        <v>6</v>
      </c>
      <c r="N7" s="3"/>
      <c r="O7" s="7" t="s">
        <v>49</v>
      </c>
      <c r="P7" s="3"/>
      <c r="Q7" s="7" t="s">
        <v>57</v>
      </c>
    </row>
    <row r="8" spans="1:18" ht="21.75" customHeight="1">
      <c r="A8" s="5" t="s">
        <v>15</v>
      </c>
      <c r="C8" s="11">
        <v>1095200</v>
      </c>
      <c r="D8" s="14"/>
      <c r="E8" s="11">
        <v>24733601292614</v>
      </c>
      <c r="F8" s="14"/>
      <c r="G8" s="11">
        <v>27098371531114</v>
      </c>
      <c r="H8" s="14"/>
      <c r="I8" s="12">
        <v>-2364770238500</v>
      </c>
      <c r="J8" s="14"/>
      <c r="K8" s="11">
        <v>1095200</v>
      </c>
      <c r="L8" s="14"/>
      <c r="M8" s="11">
        <v>24733601292614</v>
      </c>
      <c r="N8" s="14"/>
      <c r="O8" s="11">
        <v>16715743013234</v>
      </c>
      <c r="P8" s="14"/>
      <c r="Q8" s="12">
        <v>8017858279380</v>
      </c>
      <c r="R8" s="23"/>
    </row>
    <row r="9" spans="1:18" ht="21.75" customHeight="1" thickBot="1">
      <c r="A9" s="20"/>
      <c r="C9" s="13">
        <f>SUM(C8:C8)</f>
        <v>1095200</v>
      </c>
      <c r="D9" s="14"/>
      <c r="E9" s="13">
        <f>SUM(E8:E8)</f>
        <v>24733601292614</v>
      </c>
      <c r="F9" s="14"/>
      <c r="G9" s="13">
        <f>SUM(G8:G8)</f>
        <v>27098371531114</v>
      </c>
      <c r="H9" s="14"/>
      <c r="I9" s="13">
        <f>SUM(I8:I8)</f>
        <v>-2364770238500</v>
      </c>
      <c r="J9" s="14"/>
      <c r="K9" s="13">
        <f>SUM(K8:K8)</f>
        <v>1095200</v>
      </c>
      <c r="L9" s="14"/>
      <c r="M9" s="13">
        <f>SUM(M8:M8)</f>
        <v>24733601292614</v>
      </c>
      <c r="N9" s="14"/>
      <c r="O9" s="13">
        <f>SUM(O8:O8)</f>
        <v>16715743013234</v>
      </c>
      <c r="P9" s="14"/>
      <c r="Q9" s="13">
        <f>SUM(Q8:Q8)</f>
        <v>8017858279380</v>
      </c>
      <c r="R9" s="23"/>
    </row>
    <row r="10" spans="1:18" ht="13.5" thickTop="1">
      <c r="R10" s="23"/>
    </row>
    <row r="11" spans="1:18" ht="18.75">
      <c r="I11" s="23"/>
      <c r="Q11" s="12"/>
    </row>
    <row r="12" spans="1:18" ht="18.75">
      <c r="I12" s="23"/>
      <c r="Q12" s="12"/>
    </row>
    <row r="14" spans="1:18">
      <c r="I14" s="2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15"/>
  <sheetViews>
    <sheetView rightToLeft="1" view="pageBreakPreview" zoomScaleNormal="100" zoomScaleSheetLayoutView="100" workbookViewId="0">
      <selection activeCell="S21" sqref="S21"/>
    </sheetView>
  </sheetViews>
  <sheetFormatPr defaultRowHeight="12.75"/>
  <cols>
    <col min="1" max="1" width="17.28515625" bestFit="1" customWidth="1"/>
    <col min="2" max="2" width="2.42578125" customWidth="1"/>
    <col min="3" max="3" width="10.5703125" bestFit="1" customWidth="1"/>
    <col min="4" max="4" width="1.28515625" customWidth="1"/>
    <col min="5" max="5" width="19.42578125" bestFit="1" customWidth="1"/>
    <col min="6" max="6" width="1.28515625" customWidth="1"/>
    <col min="7" max="7" width="19.5703125" bestFit="1" customWidth="1"/>
    <col min="8" max="8" width="1.28515625" customWidth="1"/>
    <col min="9" max="9" width="7.7109375" bestFit="1" customWidth="1"/>
    <col min="10" max="10" width="1.28515625" customWidth="1"/>
    <col min="11" max="11" width="18.140625" bestFit="1" customWidth="1"/>
    <col min="12" max="12" width="1.28515625" customWidth="1"/>
    <col min="13" max="13" width="8.5703125" bestFit="1" customWidth="1"/>
    <col min="14" max="14" width="1.28515625" customWidth="1"/>
    <col min="15" max="15" width="16.7109375" bestFit="1" customWidth="1"/>
    <col min="16" max="16" width="1.28515625" customWidth="1"/>
    <col min="17" max="17" width="10.5703125" bestFit="1" customWidth="1"/>
    <col min="18" max="18" width="1.28515625" customWidth="1"/>
    <col min="19" max="19" width="16.140625" bestFit="1" customWidth="1"/>
    <col min="20" max="20" width="1.28515625" customWidth="1"/>
    <col min="21" max="21" width="19.42578125" bestFit="1" customWidth="1"/>
    <col min="22" max="22" width="1.28515625" customWidth="1"/>
    <col min="23" max="23" width="19.42578125" bestFit="1" customWidth="1"/>
    <col min="24" max="24" width="1.28515625" customWidth="1"/>
    <col min="25" max="25" width="18.28515625" bestFit="1" customWidth="1"/>
    <col min="26" max="26" width="0.28515625" customWidth="1"/>
    <col min="27" max="27" width="14.85546875" bestFit="1" customWidth="1"/>
    <col min="28" max="28" width="18.7109375" bestFit="1" customWidth="1"/>
    <col min="29" max="29" width="17.85546875" bestFit="1" customWidth="1"/>
  </cols>
  <sheetData>
    <row r="1" spans="1:28" ht="29.1" customHeight="1">
      <c r="A1" s="61" t="s">
        <v>79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</row>
    <row r="2" spans="1:28" ht="21.75" customHeight="1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</row>
    <row r="3" spans="1:28" ht="21.75" customHeight="1">
      <c r="A3" s="61" t="s">
        <v>84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8" ht="14.45" customHeight="1">
      <c r="A4" s="60" t="s">
        <v>58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</row>
    <row r="5" spans="1:28" ht="14.45" customHeight="1">
      <c r="A5" s="60" t="s">
        <v>59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</row>
    <row r="6" spans="1:28" ht="14.45" customHeight="1">
      <c r="C6" s="62" t="s">
        <v>83</v>
      </c>
      <c r="D6" s="62"/>
      <c r="E6" s="62"/>
      <c r="F6" s="62"/>
      <c r="G6" s="62"/>
      <c r="I6" s="62" t="s">
        <v>1</v>
      </c>
      <c r="J6" s="62"/>
      <c r="K6" s="62"/>
      <c r="L6" s="62"/>
      <c r="M6" s="62"/>
      <c r="N6" s="62"/>
      <c r="O6" s="62"/>
      <c r="Q6" s="62" t="s">
        <v>87</v>
      </c>
      <c r="R6" s="62"/>
      <c r="S6" s="62"/>
      <c r="T6" s="62"/>
      <c r="U6" s="62"/>
      <c r="V6" s="62"/>
      <c r="W6" s="62"/>
      <c r="X6" s="62"/>
      <c r="Y6" s="62"/>
    </row>
    <row r="7" spans="1:28" ht="14.45" customHeight="1">
      <c r="C7" s="3"/>
      <c r="D7" s="3"/>
      <c r="E7" s="3"/>
      <c r="F7" s="3"/>
      <c r="G7" s="3"/>
      <c r="I7" s="59" t="s">
        <v>2</v>
      </c>
      <c r="J7" s="59"/>
      <c r="K7" s="59"/>
      <c r="L7" s="3"/>
      <c r="M7" s="59" t="s">
        <v>3</v>
      </c>
      <c r="N7" s="59"/>
      <c r="O7" s="59"/>
      <c r="Q7" s="3"/>
      <c r="R7" s="3"/>
      <c r="S7" s="3"/>
      <c r="T7" s="3"/>
      <c r="U7" s="3"/>
      <c r="V7" s="3"/>
      <c r="W7" s="3"/>
      <c r="X7" s="3"/>
      <c r="Y7" s="3"/>
    </row>
    <row r="8" spans="1:28" ht="14.45" customHeight="1">
      <c r="A8" s="2"/>
      <c r="C8" s="10" t="s">
        <v>4</v>
      </c>
      <c r="E8" s="2" t="s">
        <v>5</v>
      </c>
      <c r="G8" s="2" t="s">
        <v>6</v>
      </c>
      <c r="I8" s="4" t="s">
        <v>4</v>
      </c>
      <c r="J8" s="3"/>
      <c r="K8" s="4" t="s">
        <v>5</v>
      </c>
      <c r="M8" s="4" t="s">
        <v>4</v>
      </c>
      <c r="N8" s="3"/>
      <c r="O8" s="4" t="s">
        <v>7</v>
      </c>
      <c r="Q8" s="2" t="s">
        <v>4</v>
      </c>
      <c r="S8" s="2" t="s">
        <v>8</v>
      </c>
      <c r="U8" s="2" t="s">
        <v>5</v>
      </c>
      <c r="W8" s="2" t="s">
        <v>6</v>
      </c>
      <c r="Y8" s="2" t="s">
        <v>9</v>
      </c>
    </row>
    <row r="9" spans="1:28" ht="21.75" customHeight="1">
      <c r="A9" s="8" t="s">
        <v>15</v>
      </c>
      <c r="C9" s="26">
        <v>1044000</v>
      </c>
      <c r="D9" s="25"/>
      <c r="E9" s="27">
        <v>12563767134029</v>
      </c>
      <c r="F9" s="25"/>
      <c r="G9" s="27">
        <v>25797774628224</v>
      </c>
      <c r="H9" s="25"/>
      <c r="I9" s="27">
        <v>62240</v>
      </c>
      <c r="J9" s="25"/>
      <c r="K9" s="27">
        <v>1466154926445</v>
      </c>
      <c r="L9" s="25"/>
      <c r="M9" s="27">
        <v>-11040</v>
      </c>
      <c r="N9" s="25"/>
      <c r="O9" s="27">
        <v>258909102967</v>
      </c>
      <c r="P9" s="25"/>
      <c r="Q9" s="17">
        <v>1095200</v>
      </c>
      <c r="R9" s="14"/>
      <c r="S9" s="17">
        <v>22637970</v>
      </c>
      <c r="T9" s="14"/>
      <c r="U9" s="17">
        <v>13893771658168</v>
      </c>
      <c r="V9" s="14"/>
      <c r="W9" s="17">
        <v>24733601292614.398</v>
      </c>
      <c r="X9" s="14"/>
      <c r="Y9" s="16">
        <f>W9/24741169759629*100</f>
        <v>99.969409421267741</v>
      </c>
      <c r="AA9" s="23"/>
      <c r="AB9" s="23"/>
    </row>
    <row r="10" spans="1:28" ht="21.75" customHeight="1" thickBot="1">
      <c r="A10" s="21"/>
      <c r="B10" s="22"/>
      <c r="C10" s="28">
        <f>SUM(C9:C9)</f>
        <v>1044000</v>
      </c>
      <c r="D10" s="25"/>
      <c r="E10" s="28">
        <f>SUM(E9:E9)</f>
        <v>12563767134029</v>
      </c>
      <c r="F10" s="25"/>
      <c r="G10" s="28">
        <f>SUM(G9:G9)</f>
        <v>25797774628224</v>
      </c>
      <c r="H10" s="25"/>
      <c r="I10" s="28">
        <f>SUM(I9:I9)</f>
        <v>62240</v>
      </c>
      <c r="J10" s="25"/>
      <c r="K10" s="28">
        <f>SUM(K9:K9)</f>
        <v>1466154926445</v>
      </c>
      <c r="L10" s="25"/>
      <c r="M10" s="28">
        <f>SUM(M9:M9)</f>
        <v>-11040</v>
      </c>
      <c r="N10" s="25"/>
      <c r="O10" s="28">
        <f>SUM(O9:O9)</f>
        <v>258909102967</v>
      </c>
      <c r="P10" s="25"/>
      <c r="Q10" s="29">
        <f>SUM(Q9:Q9)</f>
        <v>1095200</v>
      </c>
      <c r="R10" s="25"/>
      <c r="S10" s="26"/>
      <c r="T10" s="25"/>
      <c r="U10" s="28">
        <f>SUM(U9:U9)</f>
        <v>13893771658168</v>
      </c>
      <c r="V10" s="25"/>
      <c r="W10" s="28">
        <f>SUM(W9:W9)</f>
        <v>24733601292614.398</v>
      </c>
      <c r="X10" s="14"/>
      <c r="Y10" s="18">
        <f>SUM(Y9:Y9)</f>
        <v>99.969409421267741</v>
      </c>
    </row>
    <row r="11" spans="1:28" ht="13.5" thickTop="1">
      <c r="U11" s="23"/>
      <c r="W11" s="23"/>
    </row>
    <row r="12" spans="1:28">
      <c r="E12" s="48"/>
      <c r="G12" s="48"/>
      <c r="U12" s="23"/>
      <c r="W12" s="23"/>
    </row>
    <row r="13" spans="1:28">
      <c r="U13" s="23"/>
      <c r="W13" s="23"/>
    </row>
    <row r="14" spans="1:28">
      <c r="U14" s="23"/>
    </row>
    <row r="15" spans="1:28">
      <c r="U15" s="23"/>
      <c r="W15" s="56"/>
    </row>
  </sheetData>
  <mergeCells count="10">
    <mergeCell ref="I7:K7"/>
    <mergeCell ref="M7:O7"/>
    <mergeCell ref="A4:Y4"/>
    <mergeCell ref="A5:Y5"/>
    <mergeCell ref="A1:Y1"/>
    <mergeCell ref="A2:Y2"/>
    <mergeCell ref="A3:Y3"/>
    <mergeCell ref="C6:G6"/>
    <mergeCell ref="I6:O6"/>
    <mergeCell ref="Q6:Y6"/>
  </mergeCells>
  <pageMargins left="0.39" right="0.39" top="0.39" bottom="0.39" header="0" footer="0"/>
  <pageSetup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K13"/>
  <sheetViews>
    <sheetView rightToLeft="1" view="pageBreakPreview" zoomScale="136" zoomScaleNormal="100" zoomScaleSheetLayoutView="136" workbookViewId="0">
      <selection activeCell="C15" sqref="C15"/>
    </sheetView>
  </sheetViews>
  <sheetFormatPr defaultRowHeight="12.75"/>
  <cols>
    <col min="1" max="1" width="35" customWidth="1"/>
    <col min="2" max="2" width="1.28515625" customWidth="1"/>
    <col min="3" max="3" width="1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13.85546875" bestFit="1" customWidth="1"/>
    <col min="10" max="10" width="1.28515625" customWidth="1"/>
    <col min="11" max="11" width="18.28515625" bestFit="1" customWidth="1"/>
    <col min="12" max="12" width="0.28515625" customWidth="1"/>
  </cols>
  <sheetData>
    <row r="1" spans="1:11" ht="29.1" customHeight="1">
      <c r="A1" s="61" t="str">
        <f>سهام!A1</f>
        <v>صندوق سرمایه گذاری کالایی درفش دماوند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21.75" customHeight="1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21.75" customHeight="1">
      <c r="A3" s="61" t="str">
        <f>سهام!A3</f>
        <v>برای ماه منتهی به 1405/01/31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14.45" customHeight="1"/>
    <row r="5" spans="1:11" ht="14.45" customHeight="1">
      <c r="A5" s="60" t="s">
        <v>60</v>
      </c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1" ht="14.45" customHeight="1">
      <c r="C6" s="2" t="s">
        <v>83</v>
      </c>
      <c r="E6" s="62" t="s">
        <v>1</v>
      </c>
      <c r="F6" s="62"/>
      <c r="G6" s="62"/>
      <c r="I6" s="63" t="s">
        <v>85</v>
      </c>
      <c r="J6" s="63"/>
      <c r="K6" s="63"/>
    </row>
    <row r="7" spans="1:11" ht="14.45" customHeight="1">
      <c r="C7" s="3"/>
      <c r="E7" s="3"/>
      <c r="F7" s="3"/>
      <c r="G7" s="3"/>
    </row>
    <row r="8" spans="1:11" ht="14.45" customHeight="1">
      <c r="A8" s="2"/>
      <c r="C8" s="2" t="s">
        <v>18</v>
      </c>
      <c r="E8" s="2" t="s">
        <v>19</v>
      </c>
      <c r="G8" s="2" t="s">
        <v>20</v>
      </c>
      <c r="I8" s="2" t="s">
        <v>18</v>
      </c>
      <c r="K8" s="2" t="s">
        <v>9</v>
      </c>
    </row>
    <row r="9" spans="1:11" ht="21.75" customHeight="1">
      <c r="A9" s="9" t="s">
        <v>21</v>
      </c>
      <c r="C9" s="11">
        <v>2812335636</v>
      </c>
      <c r="D9" s="14"/>
      <c r="E9" s="11">
        <v>1880012583881</v>
      </c>
      <c r="F9" s="14"/>
      <c r="G9" s="11">
        <v>1878984048311</v>
      </c>
      <c r="H9" s="14"/>
      <c r="I9" s="12">
        <f>C9+E9-G9</f>
        <v>3840871206</v>
      </c>
      <c r="J9" s="14"/>
      <c r="K9" s="16">
        <f>I9/24741169759629*100</f>
        <v>1.5524210226580633E-2</v>
      </c>
    </row>
    <row r="10" spans="1:11" ht="21.75" customHeight="1">
      <c r="A10" s="8" t="s">
        <v>22</v>
      </c>
      <c r="C10" s="12">
        <v>413390785</v>
      </c>
      <c r="D10" s="14"/>
      <c r="E10" s="12">
        <v>1748154</v>
      </c>
      <c r="F10" s="14"/>
      <c r="G10" s="12">
        <v>630000</v>
      </c>
      <c r="H10" s="14"/>
      <c r="I10" s="12">
        <f>C10+E10-G10</f>
        <v>414508939</v>
      </c>
      <c r="J10" s="14"/>
      <c r="K10" s="16">
        <f>I10/24741169759629*100</f>
        <v>1.6753813300952657E-3</v>
      </c>
    </row>
    <row r="11" spans="1:11" ht="21.75" customHeight="1" thickBot="1">
      <c r="A11" s="22"/>
      <c r="C11" s="13">
        <f>SUM(C9:C10)</f>
        <v>3225726421</v>
      </c>
      <c r="D11" s="14"/>
      <c r="E11" s="13">
        <f>SUM(E9:E10)</f>
        <v>1880014332035</v>
      </c>
      <c r="F11" s="14"/>
      <c r="G11" s="13">
        <f>SUM(G9:G10)</f>
        <v>1878984678311</v>
      </c>
      <c r="H11" s="14"/>
      <c r="I11" s="19">
        <f>SUM(I9:I10)</f>
        <v>4255380145</v>
      </c>
      <c r="J11" s="14"/>
      <c r="K11" s="32">
        <f>SUM(K9:K10)</f>
        <v>1.71995915566759E-2</v>
      </c>
    </row>
    <row r="12" spans="1:11" ht="13.5" thickTop="1">
      <c r="G12" s="23"/>
      <c r="I12" s="23"/>
    </row>
    <row r="13" spans="1:11">
      <c r="C13" s="23"/>
      <c r="I13" s="23"/>
    </row>
  </sheetData>
  <mergeCells count="6">
    <mergeCell ref="A5:K5"/>
    <mergeCell ref="E6:G6"/>
    <mergeCell ref="I6:K6"/>
    <mergeCell ref="A1:K1"/>
    <mergeCell ref="A2:K2"/>
    <mergeCell ref="A3:K3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M15"/>
  <sheetViews>
    <sheetView rightToLeft="1" view="pageBreakPreview" topLeftCell="B1" zoomScale="118" zoomScaleNormal="100" zoomScaleSheetLayoutView="118" workbookViewId="0">
      <selection activeCell="F21" sqref="F21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3" width="18" bestFit="1" customWidth="1"/>
  </cols>
  <sheetData>
    <row r="1" spans="1:13" ht="29.1" customHeight="1">
      <c r="A1" s="61" t="str">
        <f>سهام!A1</f>
        <v>صندوق سرمایه گذاری کالایی درفش دماوند</v>
      </c>
      <c r="B1" s="61"/>
      <c r="C1" s="61"/>
      <c r="D1" s="61"/>
      <c r="E1" s="61"/>
      <c r="F1" s="61"/>
      <c r="G1" s="61"/>
      <c r="H1" s="61"/>
      <c r="I1" s="61"/>
      <c r="J1" s="61"/>
    </row>
    <row r="2" spans="1:13" ht="21.75" customHeight="1">
      <c r="A2" s="61" t="s">
        <v>23</v>
      </c>
      <c r="B2" s="61"/>
      <c r="C2" s="61"/>
      <c r="D2" s="61"/>
      <c r="E2" s="61"/>
      <c r="F2" s="61"/>
      <c r="G2" s="61"/>
      <c r="H2" s="61"/>
      <c r="I2" s="61"/>
      <c r="J2" s="61"/>
    </row>
    <row r="3" spans="1:13" ht="21.75" customHeight="1">
      <c r="A3" s="61" t="str">
        <f>سهام!A3</f>
        <v>برای ماه منتهی به 1405/01/31</v>
      </c>
      <c r="B3" s="61"/>
      <c r="C3" s="61"/>
      <c r="D3" s="61"/>
      <c r="E3" s="61"/>
      <c r="F3" s="61"/>
      <c r="G3" s="61"/>
      <c r="H3" s="61"/>
      <c r="I3" s="61"/>
      <c r="J3" s="61"/>
    </row>
    <row r="4" spans="1:13" ht="14.45" customHeight="1"/>
    <row r="5" spans="1:13" ht="29.1" customHeight="1">
      <c r="A5" s="1" t="s">
        <v>24</v>
      </c>
      <c r="B5" s="67" t="s">
        <v>25</v>
      </c>
      <c r="C5" s="67"/>
      <c r="D5" s="67"/>
      <c r="E5" s="67"/>
      <c r="F5" s="67"/>
      <c r="G5" s="67"/>
      <c r="H5" s="67"/>
      <c r="I5" s="67"/>
      <c r="J5" s="67"/>
    </row>
    <row r="6" spans="1:13" ht="14.45" customHeight="1"/>
    <row r="7" spans="1:13" ht="14.45" customHeight="1">
      <c r="A7" s="62" t="s">
        <v>26</v>
      </c>
      <c r="B7" s="62"/>
      <c r="D7" s="2" t="s">
        <v>27</v>
      </c>
      <c r="F7" s="2" t="s">
        <v>18</v>
      </c>
      <c r="H7" s="2" t="s">
        <v>28</v>
      </c>
      <c r="J7" s="2" t="s">
        <v>29</v>
      </c>
    </row>
    <row r="8" spans="1:13" ht="21.75" customHeight="1">
      <c r="A8" s="65" t="s">
        <v>30</v>
      </c>
      <c r="B8" s="65"/>
      <c r="C8" s="14"/>
      <c r="D8" s="46" t="s">
        <v>31</v>
      </c>
      <c r="E8" s="14"/>
      <c r="F8" s="11">
        <f>'درآمد سرمایه گذاری در سهام'!S23</f>
        <v>10348117245361</v>
      </c>
      <c r="G8" s="14"/>
      <c r="H8" s="15">
        <f>F8/F11*100</f>
        <v>99.99025791615604</v>
      </c>
      <c r="I8" s="14"/>
      <c r="J8" s="16">
        <f>F8/24741169759629*100</f>
        <v>41.825497120376141</v>
      </c>
      <c r="L8" s="23"/>
      <c r="M8" s="23"/>
    </row>
    <row r="9" spans="1:13" ht="21.75" customHeight="1">
      <c r="A9" s="66" t="s">
        <v>33</v>
      </c>
      <c r="B9" s="66"/>
      <c r="C9" s="14"/>
      <c r="D9" s="47" t="s">
        <v>32</v>
      </c>
      <c r="E9" s="14"/>
      <c r="F9" s="12">
        <f>'درآمد سپرده بانکی'!G10</f>
        <v>110914541</v>
      </c>
      <c r="G9" s="14"/>
      <c r="H9" s="16">
        <f>F9/F11*100</f>
        <v>1.0717286341352396E-3</v>
      </c>
      <c r="I9" s="14"/>
      <c r="J9" s="16">
        <f t="shared" ref="J9:J10" si="0">F9/24741169759629*100</f>
        <v>4.4829950272190841E-4</v>
      </c>
      <c r="L9" s="23"/>
      <c r="M9" s="23"/>
    </row>
    <row r="10" spans="1:13" ht="21.75" customHeight="1">
      <c r="A10" s="66" t="s">
        <v>74</v>
      </c>
      <c r="B10" s="66"/>
      <c r="C10" s="14"/>
      <c r="D10" s="47" t="s">
        <v>75</v>
      </c>
      <c r="E10" s="14"/>
      <c r="F10" s="12">
        <f>'سایر درآمدها'!F9</f>
        <v>897305939</v>
      </c>
      <c r="G10" s="14"/>
      <c r="H10" s="16">
        <f>F10/F11*100</f>
        <v>8.6703552098359102E-3</v>
      </c>
      <c r="I10" s="14"/>
      <c r="J10" s="16">
        <f t="shared" si="0"/>
        <v>3.6267724918332858E-3</v>
      </c>
      <c r="L10" s="48"/>
      <c r="M10" s="48"/>
    </row>
    <row r="11" spans="1:13" ht="21.75" customHeight="1" thickBot="1">
      <c r="A11" s="64"/>
      <c r="B11" s="64"/>
      <c r="C11" s="14"/>
      <c r="D11" s="12"/>
      <c r="E11" s="14"/>
      <c r="F11" s="13">
        <f>SUM(F8:F10)</f>
        <v>10349125465841</v>
      </c>
      <c r="G11" s="14"/>
      <c r="H11" s="18">
        <f>SUM(H8:H10)</f>
        <v>100</v>
      </c>
      <c r="I11" s="14"/>
      <c r="J11" s="18">
        <f>SUM(J8:J10)</f>
        <v>41.829572192370698</v>
      </c>
      <c r="L11" s="23"/>
    </row>
    <row r="12" spans="1:13" ht="13.5" thickTop="1"/>
    <row r="13" spans="1:13">
      <c r="F13" s="23"/>
      <c r="L13" s="23"/>
    </row>
    <row r="14" spans="1:13">
      <c r="F14" s="23"/>
      <c r="L14" s="23"/>
      <c r="M14" s="23"/>
    </row>
    <row r="15" spans="1:13">
      <c r="F15" s="23"/>
      <c r="M15" s="23"/>
    </row>
  </sheetData>
  <mergeCells count="9">
    <mergeCell ref="A11:B11"/>
    <mergeCell ref="A8:B8"/>
    <mergeCell ref="A9:B9"/>
    <mergeCell ref="A1:J1"/>
    <mergeCell ref="A2:J2"/>
    <mergeCell ref="A3:J3"/>
    <mergeCell ref="B5:J5"/>
    <mergeCell ref="A7:B7"/>
    <mergeCell ref="A10:B10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U27"/>
  <sheetViews>
    <sheetView rightToLeft="1" view="pageBreakPreview" topLeftCell="B1" zoomScaleNormal="100" zoomScaleSheetLayoutView="100" workbookViewId="0">
      <selection activeCell="J15" sqref="J15:U17"/>
    </sheetView>
  </sheetViews>
  <sheetFormatPr defaultRowHeight="12.75"/>
  <cols>
    <col min="1" max="1" width="81.28515625" bestFit="1" customWidth="1"/>
    <col min="2" max="2" width="1.28515625" customWidth="1"/>
    <col min="3" max="3" width="14.85546875" style="14" bestFit="1" customWidth="1"/>
    <col min="4" max="4" width="1.28515625" style="14" customWidth="1"/>
    <col min="5" max="5" width="19.140625" style="14" bestFit="1" customWidth="1"/>
    <col min="6" max="6" width="1.28515625" style="14" customWidth="1"/>
    <col min="7" max="7" width="16.140625" style="14" bestFit="1" customWidth="1"/>
    <col min="8" max="8" width="1.28515625" style="14" customWidth="1"/>
    <col min="9" max="9" width="19.140625" style="14" bestFit="1" customWidth="1"/>
    <col min="10" max="10" width="1.28515625" style="14" customWidth="1"/>
    <col min="11" max="11" width="20.42578125" style="14" bestFit="1" customWidth="1"/>
    <col min="12" max="12" width="1.28515625" style="14" customWidth="1"/>
    <col min="13" max="13" width="14.85546875" style="14" bestFit="1" customWidth="1"/>
    <col min="14" max="14" width="1.28515625" style="14" customWidth="1"/>
    <col min="15" max="15" width="19" style="14" bestFit="1" customWidth="1"/>
    <col min="16" max="16" width="1.28515625" style="14" customWidth="1"/>
    <col min="17" max="17" width="18.42578125" style="14" bestFit="1" customWidth="1"/>
    <col min="18" max="18" width="1.28515625" style="14" customWidth="1"/>
    <col min="19" max="19" width="19.5703125" style="14" bestFit="1" customWidth="1"/>
    <col min="20" max="20" width="1.28515625" style="14" customWidth="1"/>
    <col min="21" max="21" width="17.28515625" style="14" bestFit="1" customWidth="1"/>
    <col min="22" max="22" width="0.28515625" customWidth="1"/>
  </cols>
  <sheetData>
    <row r="1" spans="1:21" ht="29.1" customHeight="1">
      <c r="A1" s="61" t="str">
        <f>سهام!A1</f>
        <v>صندوق سرمایه گذاری کالایی درفش دماوند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1" ht="21.75" customHeight="1">
      <c r="A2" s="61" t="s">
        <v>23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</row>
    <row r="3" spans="1:21" ht="21.75" customHeight="1">
      <c r="A3" s="61" t="str">
        <f>سهام!A3</f>
        <v>برای ماه منتهی به 1405/01/31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</row>
    <row r="4" spans="1:21" ht="14.45" customHeight="1"/>
    <row r="5" spans="1:21" ht="14.45" customHeight="1">
      <c r="A5" s="60" t="s">
        <v>61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</row>
    <row r="6" spans="1:21" ht="14.45" customHeight="1">
      <c r="C6" s="62" t="s">
        <v>34</v>
      </c>
      <c r="D6" s="62"/>
      <c r="E6" s="62"/>
      <c r="F6" s="62"/>
      <c r="G6" s="62"/>
      <c r="H6" s="62"/>
      <c r="I6" s="62"/>
      <c r="J6" s="62"/>
      <c r="K6" s="62"/>
      <c r="M6" s="62" t="s">
        <v>35</v>
      </c>
      <c r="N6" s="62"/>
      <c r="O6" s="62"/>
      <c r="P6" s="62"/>
      <c r="Q6" s="62"/>
      <c r="R6" s="62"/>
      <c r="S6" s="62"/>
      <c r="T6" s="62"/>
      <c r="U6" s="62"/>
    </row>
    <row r="7" spans="1:21" ht="14.45" customHeight="1">
      <c r="C7" s="33"/>
      <c r="D7" s="33"/>
      <c r="E7" s="33"/>
      <c r="F7" s="33"/>
      <c r="G7" s="33"/>
      <c r="H7" s="33"/>
      <c r="I7" s="59" t="s">
        <v>16</v>
      </c>
      <c r="J7" s="59"/>
      <c r="K7" s="59"/>
      <c r="M7" s="33"/>
      <c r="N7" s="33"/>
      <c r="O7" s="33"/>
      <c r="P7" s="33"/>
      <c r="Q7" s="33"/>
      <c r="R7" s="33"/>
      <c r="S7" s="59" t="s">
        <v>16</v>
      </c>
      <c r="T7" s="59"/>
      <c r="U7" s="59"/>
    </row>
    <row r="8" spans="1:21" ht="14.45" customHeight="1">
      <c r="A8" s="2"/>
      <c r="C8" s="2" t="s">
        <v>36</v>
      </c>
      <c r="E8" s="2" t="s">
        <v>37</v>
      </c>
      <c r="G8" s="2" t="s">
        <v>38</v>
      </c>
      <c r="I8" s="4" t="s">
        <v>18</v>
      </c>
      <c r="J8" s="33"/>
      <c r="K8" s="4" t="s">
        <v>28</v>
      </c>
      <c r="M8" s="2" t="s">
        <v>36</v>
      </c>
      <c r="O8" s="10" t="s">
        <v>37</v>
      </c>
      <c r="Q8" s="2" t="s">
        <v>38</v>
      </c>
      <c r="S8" s="4" t="s">
        <v>18</v>
      </c>
      <c r="T8" s="33"/>
      <c r="U8" s="4" t="s">
        <v>28</v>
      </c>
    </row>
    <row r="9" spans="1:21" ht="21.75" customHeight="1">
      <c r="A9" s="9" t="s">
        <v>15</v>
      </c>
      <c r="C9" s="24">
        <v>0</v>
      </c>
      <c r="D9" s="25"/>
      <c r="E9" s="26">
        <f>VLOOKUP(A9,'درآمد ناشی از تغییر قیمت اوراق'!A:Q,9,0)</f>
        <v>-2364770238500</v>
      </c>
      <c r="F9" s="25"/>
      <c r="G9" s="26">
        <f>'درآمد ناشی از فروش'!I8</f>
        <v>93973956125</v>
      </c>
      <c r="H9" s="25"/>
      <c r="I9" s="24">
        <f>C9+E9+G9</f>
        <v>-2270796282375</v>
      </c>
      <c r="K9" s="16">
        <f>I9/-2269889989326*100</f>
        <v>100.03992673888433</v>
      </c>
      <c r="M9" s="24">
        <v>0</v>
      </c>
      <c r="N9" s="25"/>
      <c r="O9" s="26">
        <f>'درآمد ناشی از تغییر قیمت اوراق'!Q8</f>
        <v>8017858279380</v>
      </c>
      <c r="P9" s="25"/>
      <c r="Q9" s="26">
        <f>IFERROR(VLOOKUP(A9,'درآمد ناشی از فروش'!A:Q,17,0),0)</f>
        <v>2186752936789</v>
      </c>
      <c r="R9" s="25"/>
      <c r="S9" s="26">
        <f>M9+O9+Q9</f>
        <v>10204611216169</v>
      </c>
      <c r="U9" s="16">
        <f>S9/درآمد!$F$11*100</f>
        <v>98.603609066785467</v>
      </c>
    </row>
    <row r="10" spans="1:21" ht="21.75" customHeight="1">
      <c r="A10" s="8" t="s">
        <v>39</v>
      </c>
      <c r="C10" s="26">
        <v>0</v>
      </c>
      <c r="D10" s="25"/>
      <c r="E10" s="26">
        <v>0</v>
      </c>
      <c r="F10" s="25"/>
      <c r="G10" s="26">
        <v>0</v>
      </c>
      <c r="H10" s="25"/>
      <c r="I10" s="26">
        <f>C10+E10+G10</f>
        <v>0</v>
      </c>
      <c r="K10" s="16">
        <f t="shared" ref="K10:K22" si="0">I10/4605545538908*100</f>
        <v>0</v>
      </c>
      <c r="M10" s="26">
        <v>0</v>
      </c>
      <c r="N10" s="25"/>
      <c r="O10" s="26">
        <v>0</v>
      </c>
      <c r="P10" s="25"/>
      <c r="Q10" s="26">
        <f>IFERROR(VLOOKUP(A10,'درآمد ناشی از فروش'!A:Q,17,0),0)</f>
        <v>50158547025</v>
      </c>
      <c r="R10" s="25"/>
      <c r="S10" s="26">
        <f>M10+O10+Q10</f>
        <v>50158547025</v>
      </c>
      <c r="U10" s="16">
        <f>S10/درآمد!$F$11*100</f>
        <v>0.48466459499941883</v>
      </c>
    </row>
    <row r="11" spans="1:21" ht="21.75" customHeight="1">
      <c r="A11" s="8" t="s">
        <v>10</v>
      </c>
      <c r="C11" s="26">
        <v>0</v>
      </c>
      <c r="D11" s="25"/>
      <c r="E11" s="26">
        <v>0</v>
      </c>
      <c r="F11" s="25"/>
      <c r="G11" s="26">
        <f>IFERROR(VLOOKUP(A11,'درآمد اعمال اختیار'!A:L,10,0),0)</f>
        <v>0</v>
      </c>
      <c r="H11" s="25"/>
      <c r="I11" s="26">
        <f t="shared" ref="I11:I22" si="1">C11+E11+G11</f>
        <v>0</v>
      </c>
      <c r="K11" s="16">
        <f t="shared" si="0"/>
        <v>0</v>
      </c>
      <c r="M11" s="26">
        <v>0</v>
      </c>
      <c r="N11" s="25"/>
      <c r="O11" s="26">
        <v>0</v>
      </c>
      <c r="P11" s="25"/>
      <c r="Q11" s="26">
        <f>IFERROR(VLOOKUP(A11,'درآمد اعمال اختیار'!A:L,12,0),0)</f>
        <v>7851327396</v>
      </c>
      <c r="R11" s="25"/>
      <c r="S11" s="26">
        <f t="shared" ref="S11:S22" si="2">M11+O11+Q11</f>
        <v>7851327396</v>
      </c>
      <c r="U11" s="16">
        <f>S11/درآمد!$F$11*100</f>
        <v>7.5864645973368505E-2</v>
      </c>
    </row>
    <row r="12" spans="1:21" ht="21.75" customHeight="1">
      <c r="A12" s="8" t="s">
        <v>11</v>
      </c>
      <c r="C12" s="26">
        <v>0</v>
      </c>
      <c r="D12" s="25"/>
      <c r="E12" s="26">
        <v>0</v>
      </c>
      <c r="F12" s="25"/>
      <c r="G12" s="26">
        <f>IFERROR(VLOOKUP(A12,'درآمد اعمال اختیار'!A:L,10,0),0)</f>
        <v>0</v>
      </c>
      <c r="H12" s="25"/>
      <c r="I12" s="26">
        <f t="shared" si="1"/>
        <v>0</v>
      </c>
      <c r="K12" s="16">
        <f t="shared" si="0"/>
        <v>0</v>
      </c>
      <c r="M12" s="26">
        <v>0</v>
      </c>
      <c r="N12" s="25"/>
      <c r="O12" s="26">
        <v>0</v>
      </c>
      <c r="P12" s="25"/>
      <c r="Q12" s="26">
        <f>IFERROR(VLOOKUP(A12,'درآمد اعمال اختیار'!A:L,12,0),0)</f>
        <v>13506334256</v>
      </c>
      <c r="R12" s="25"/>
      <c r="S12" s="26">
        <f t="shared" si="2"/>
        <v>13506334256</v>
      </c>
      <c r="U12" s="16">
        <f>S12/درآمد!$F$11*100</f>
        <v>0.13050701047716437</v>
      </c>
    </row>
    <row r="13" spans="1:21" ht="21.75" customHeight="1">
      <c r="A13" s="8" t="s">
        <v>12</v>
      </c>
      <c r="C13" s="26">
        <v>0</v>
      </c>
      <c r="D13" s="25"/>
      <c r="E13" s="26">
        <v>0</v>
      </c>
      <c r="F13" s="25"/>
      <c r="G13" s="26">
        <f>IFERROR(VLOOKUP(A13,'درآمد اعمال اختیار'!A:L,10,0),0)</f>
        <v>0</v>
      </c>
      <c r="H13" s="25"/>
      <c r="I13" s="26">
        <f t="shared" si="1"/>
        <v>0</v>
      </c>
      <c r="K13" s="16">
        <f t="shared" si="0"/>
        <v>0</v>
      </c>
      <c r="M13" s="26">
        <v>0</v>
      </c>
      <c r="N13" s="25"/>
      <c r="O13" s="26">
        <v>0</v>
      </c>
      <c r="P13" s="25"/>
      <c r="Q13" s="26">
        <f>IFERROR(VLOOKUP(A13,'درآمد اعمال اختیار'!A:L,12,0),0)</f>
        <v>12192942597</v>
      </c>
      <c r="R13" s="25"/>
      <c r="S13" s="26">
        <f t="shared" si="2"/>
        <v>12192942597</v>
      </c>
      <c r="U13" s="16">
        <f>S13/درآمد!$F$11*100</f>
        <v>0.11781616366759513</v>
      </c>
    </row>
    <row r="14" spans="1:21" ht="21.75" customHeight="1">
      <c r="A14" s="8" t="s">
        <v>13</v>
      </c>
      <c r="C14" s="26">
        <v>0</v>
      </c>
      <c r="D14" s="25"/>
      <c r="E14" s="26">
        <v>0</v>
      </c>
      <c r="F14" s="25"/>
      <c r="G14" s="26">
        <f>IFERROR(VLOOKUP(A14,'درآمد اعمال اختیار'!A:L,10,0),0)</f>
        <v>0</v>
      </c>
      <c r="H14" s="25"/>
      <c r="I14" s="26">
        <f t="shared" si="1"/>
        <v>0</v>
      </c>
      <c r="K14" s="16">
        <f t="shared" si="0"/>
        <v>0</v>
      </c>
      <c r="M14" s="26">
        <v>0</v>
      </c>
      <c r="N14" s="25"/>
      <c r="O14" s="26">
        <v>0</v>
      </c>
      <c r="P14" s="25"/>
      <c r="Q14" s="26">
        <f>IFERROR(VLOOKUP(A14,'درآمد اعمال اختیار'!A:L,12,0),0)</f>
        <v>21986883549</v>
      </c>
      <c r="R14" s="25"/>
      <c r="S14" s="26">
        <f t="shared" si="2"/>
        <v>21986883549</v>
      </c>
      <c r="U14" s="16">
        <f>S14/درآمد!$F$11*100</f>
        <v>0.21245160880087258</v>
      </c>
    </row>
    <row r="15" spans="1:21" ht="21.75" customHeight="1">
      <c r="A15" s="8" t="s">
        <v>14</v>
      </c>
      <c r="C15" s="26">
        <v>0</v>
      </c>
      <c r="D15" s="25"/>
      <c r="E15" s="26">
        <v>0</v>
      </c>
      <c r="F15" s="25"/>
      <c r="G15" s="26">
        <f>IFERROR(VLOOKUP(A15,'درآمد اعمال اختیار'!A:L,10,0),0)</f>
        <v>0</v>
      </c>
      <c r="H15" s="25"/>
      <c r="I15" s="26">
        <f t="shared" si="1"/>
        <v>0</v>
      </c>
      <c r="K15" s="16">
        <f t="shared" si="0"/>
        <v>0</v>
      </c>
      <c r="M15" s="26">
        <v>0</v>
      </c>
      <c r="N15" s="25"/>
      <c r="O15" s="26">
        <v>0</v>
      </c>
      <c r="P15" s="25"/>
      <c r="Q15" s="26">
        <f>IFERROR(VLOOKUP(A15,'درآمد اعمال اختیار'!A:L,12,0),0)</f>
        <v>7953236119</v>
      </c>
      <c r="R15" s="25"/>
      <c r="S15" s="26">
        <f t="shared" si="2"/>
        <v>7953236119</v>
      </c>
      <c r="U15" s="16">
        <f>S15/درآمد!$F$11*100</f>
        <v>7.6849354520350258E-2</v>
      </c>
    </row>
    <row r="16" spans="1:21" ht="21.75" customHeight="1">
      <c r="A16" s="8" t="s">
        <v>63</v>
      </c>
      <c r="C16" s="26">
        <v>0</v>
      </c>
      <c r="D16" s="25"/>
      <c r="E16" s="26">
        <v>0</v>
      </c>
      <c r="F16" s="25"/>
      <c r="G16" s="26">
        <f>IFERROR(VLOOKUP(A16,'درآمد اعمال اختیار'!A:L,10,0),0)</f>
        <v>0</v>
      </c>
      <c r="H16" s="25"/>
      <c r="I16" s="26">
        <f t="shared" si="1"/>
        <v>0</v>
      </c>
      <c r="K16" s="16">
        <f t="shared" si="0"/>
        <v>0</v>
      </c>
      <c r="M16" s="26">
        <v>0</v>
      </c>
      <c r="N16" s="25"/>
      <c r="O16" s="26">
        <v>0</v>
      </c>
      <c r="P16" s="25"/>
      <c r="Q16" s="26">
        <f>IFERROR(VLOOKUP(A16,'درآمد اعمال اختیار'!A:L,12,0),0)</f>
        <v>2323243497</v>
      </c>
      <c r="R16" s="25"/>
      <c r="S16" s="26">
        <f t="shared" si="2"/>
        <v>2323243497</v>
      </c>
      <c r="U16" s="16">
        <f>S16/درآمد!$F$11*100</f>
        <v>2.2448693898515865E-2</v>
      </c>
    </row>
    <row r="17" spans="1:21" ht="21.75" customHeight="1">
      <c r="A17" s="8" t="s">
        <v>64</v>
      </c>
      <c r="C17" s="26">
        <v>0</v>
      </c>
      <c r="D17" s="25"/>
      <c r="E17" s="26">
        <v>0</v>
      </c>
      <c r="F17" s="25"/>
      <c r="G17" s="26">
        <f>IFERROR(VLOOKUP(A17,'درآمد اعمال اختیار'!A:L,10,0),0)</f>
        <v>0</v>
      </c>
      <c r="H17" s="25"/>
      <c r="I17" s="26">
        <f t="shared" si="1"/>
        <v>0</v>
      </c>
      <c r="K17" s="16">
        <f t="shared" si="0"/>
        <v>0</v>
      </c>
      <c r="M17" s="26">
        <v>0</v>
      </c>
      <c r="N17" s="25"/>
      <c r="O17" s="26">
        <v>0</v>
      </c>
      <c r="P17" s="25"/>
      <c r="Q17" s="26">
        <f>IFERROR(VLOOKUP(A17,'درآمد اعمال اختیار'!A:L,12,0),0)</f>
        <v>950536282</v>
      </c>
      <c r="R17" s="25"/>
      <c r="S17" s="26">
        <f t="shared" si="2"/>
        <v>950536282</v>
      </c>
      <c r="U17" s="16">
        <f>S17/درآمد!$F$11*100</f>
        <v>9.1847015009857806E-3</v>
      </c>
    </row>
    <row r="18" spans="1:21" ht="21.75" customHeight="1">
      <c r="A18" s="8" t="s">
        <v>65</v>
      </c>
      <c r="C18" s="26">
        <v>0</v>
      </c>
      <c r="D18" s="25"/>
      <c r="E18" s="26">
        <v>0</v>
      </c>
      <c r="F18" s="25"/>
      <c r="G18" s="26">
        <f>IFERROR(VLOOKUP(A18,'درآمد اعمال اختیار'!A:L,10,0),0)</f>
        <v>0</v>
      </c>
      <c r="H18" s="25"/>
      <c r="I18" s="26">
        <f t="shared" si="1"/>
        <v>0</v>
      </c>
      <c r="K18" s="16">
        <f t="shared" si="0"/>
        <v>0</v>
      </c>
      <c r="M18" s="26">
        <v>0</v>
      </c>
      <c r="N18" s="25"/>
      <c r="O18" s="26">
        <v>0</v>
      </c>
      <c r="P18" s="25"/>
      <c r="Q18" s="26">
        <f>IFERROR(VLOOKUP(A18,'درآمد اعمال اختیار'!A:L,12,0),0)</f>
        <v>11623371119</v>
      </c>
      <c r="R18" s="25"/>
      <c r="S18" s="26">
        <f t="shared" si="2"/>
        <v>11623371119</v>
      </c>
      <c r="U18" s="16">
        <f>S18/درآمد!$F$11*100</f>
        <v>0.11231259256992156</v>
      </c>
    </row>
    <row r="19" spans="1:21" ht="21.75" customHeight="1">
      <c r="A19" s="8" t="s">
        <v>66</v>
      </c>
      <c r="C19" s="26">
        <v>0</v>
      </c>
      <c r="D19" s="25"/>
      <c r="E19" s="26">
        <v>0</v>
      </c>
      <c r="F19" s="25"/>
      <c r="G19" s="26">
        <f>IFERROR(VLOOKUP(A19,'درآمد اعمال اختیار'!A:L,10,0),0)</f>
        <v>0</v>
      </c>
      <c r="H19" s="25"/>
      <c r="I19" s="26">
        <f t="shared" si="1"/>
        <v>0</v>
      </c>
      <c r="K19" s="16">
        <f t="shared" si="0"/>
        <v>0</v>
      </c>
      <c r="M19" s="26">
        <v>0</v>
      </c>
      <c r="N19" s="25"/>
      <c r="O19" s="26">
        <v>0</v>
      </c>
      <c r="P19" s="25"/>
      <c r="Q19" s="26">
        <f>IFERROR(VLOOKUP(A19,'درآمد اعمال اختیار'!A:L,12,0),0)</f>
        <v>9403317173</v>
      </c>
      <c r="R19" s="25"/>
      <c r="S19" s="26">
        <f t="shared" si="2"/>
        <v>9403317173</v>
      </c>
      <c r="U19" s="16">
        <f>S19/درآمد!$F$11*100</f>
        <v>9.0860983413885585E-2</v>
      </c>
    </row>
    <row r="20" spans="1:21" ht="21.75" customHeight="1">
      <c r="A20" s="8" t="s">
        <v>67</v>
      </c>
      <c r="C20" s="26">
        <v>0</v>
      </c>
      <c r="D20" s="25"/>
      <c r="E20" s="26">
        <v>0</v>
      </c>
      <c r="F20" s="25"/>
      <c r="G20" s="26">
        <f>IFERROR(VLOOKUP(A20,'درآمد اعمال اختیار'!A:L,10,0),0)</f>
        <v>0</v>
      </c>
      <c r="H20" s="25"/>
      <c r="I20" s="26">
        <f t="shared" si="1"/>
        <v>0</v>
      </c>
      <c r="K20" s="16">
        <f t="shared" si="0"/>
        <v>0</v>
      </c>
      <c r="M20" s="26">
        <v>0</v>
      </c>
      <c r="N20" s="25"/>
      <c r="O20" s="26">
        <v>0</v>
      </c>
      <c r="P20" s="25"/>
      <c r="Q20" s="26">
        <f>IFERROR(VLOOKUP(A20,'درآمد اعمال اختیار'!A:L,12,0),0)</f>
        <v>3737822385</v>
      </c>
      <c r="R20" s="25"/>
      <c r="S20" s="26">
        <f t="shared" si="2"/>
        <v>3737822385</v>
      </c>
      <c r="U20" s="16">
        <f>S20/درآمد!$F$11*100</f>
        <v>3.6117277709477008E-2</v>
      </c>
    </row>
    <row r="21" spans="1:21" ht="21.75" customHeight="1">
      <c r="A21" s="8" t="s">
        <v>68</v>
      </c>
      <c r="C21" s="26">
        <v>0</v>
      </c>
      <c r="D21" s="25"/>
      <c r="E21" s="26">
        <v>0</v>
      </c>
      <c r="F21" s="25"/>
      <c r="G21" s="26">
        <f>IFERROR(VLOOKUP(A21,'درآمد اعمال اختیار'!A:L,10,0),0)</f>
        <v>0</v>
      </c>
      <c r="H21" s="25"/>
      <c r="I21" s="26">
        <f t="shared" si="1"/>
        <v>0</v>
      </c>
      <c r="K21" s="16">
        <f t="shared" si="0"/>
        <v>0</v>
      </c>
      <c r="M21" s="26">
        <v>0</v>
      </c>
      <c r="N21" s="25"/>
      <c r="O21" s="26">
        <v>0</v>
      </c>
      <c r="P21" s="25"/>
      <c r="Q21" s="26">
        <f>IFERROR(VLOOKUP(A21,'درآمد اعمال اختیار'!A:L,12,0),0)</f>
        <v>993815288</v>
      </c>
      <c r="R21" s="25"/>
      <c r="S21" s="26">
        <f t="shared" si="2"/>
        <v>993815288</v>
      </c>
      <c r="U21" s="16">
        <f>S21/درآمد!$F$11*100</f>
        <v>9.6028914837321434E-3</v>
      </c>
    </row>
    <row r="22" spans="1:21" ht="21.75" customHeight="1">
      <c r="A22" s="8" t="s">
        <v>69</v>
      </c>
      <c r="C22" s="26">
        <v>0</v>
      </c>
      <c r="D22" s="25"/>
      <c r="E22" s="26">
        <v>0</v>
      </c>
      <c r="F22" s="25"/>
      <c r="G22" s="26">
        <f>IFERROR(VLOOKUP(A22,'درآمد اعمال اختیار'!A:L,10,0),0)</f>
        <v>0</v>
      </c>
      <c r="H22" s="25"/>
      <c r="I22" s="26">
        <f t="shared" si="1"/>
        <v>0</v>
      </c>
      <c r="K22" s="16">
        <f t="shared" si="0"/>
        <v>0</v>
      </c>
      <c r="M22" s="26"/>
      <c r="N22" s="25"/>
      <c r="O22" s="26">
        <v>0</v>
      </c>
      <c r="P22" s="25"/>
      <c r="Q22" s="26">
        <f>IFERROR(VLOOKUP(A22,'درآمد اعمال اختیار'!A:L,12,0),0)</f>
        <v>824652506</v>
      </c>
      <c r="R22" s="25"/>
      <c r="S22" s="26">
        <f t="shared" si="2"/>
        <v>824652506</v>
      </c>
      <c r="U22" s="16">
        <f>S22/درآمد!$F$11*100</f>
        <v>7.9683303552739986E-3</v>
      </c>
    </row>
    <row r="23" spans="1:21" ht="19.5" thickBot="1">
      <c r="C23" s="29">
        <f>SUM(C9:C22)</f>
        <v>0</v>
      </c>
      <c r="D23" s="26"/>
      <c r="E23" s="29">
        <f>SUM(E9:E22)</f>
        <v>-2364770238500</v>
      </c>
      <c r="F23" s="26"/>
      <c r="G23" s="29">
        <f>SUM(G9:G22)</f>
        <v>93973956125</v>
      </c>
      <c r="H23" s="26"/>
      <c r="I23" s="29">
        <f>SUM(I9:I22)</f>
        <v>-2270796282375</v>
      </c>
      <c r="J23" s="31"/>
      <c r="K23" s="32">
        <f>SUM(K9:K22)</f>
        <v>100.03992673888433</v>
      </c>
      <c r="L23" s="31"/>
      <c r="M23" s="29">
        <f>SUM(M9:M22)</f>
        <v>0</v>
      </c>
      <c r="N23" s="26"/>
      <c r="O23" s="29">
        <f>SUM(O9:O22)</f>
        <v>8017858279380</v>
      </c>
      <c r="P23" s="26"/>
      <c r="Q23" s="29">
        <f>SUM(Q9:Q22)</f>
        <v>2330258965981</v>
      </c>
      <c r="R23" s="26"/>
      <c r="S23" s="29">
        <f>SUM(S9:S22)</f>
        <v>10348117245361</v>
      </c>
      <c r="T23" s="31"/>
      <c r="U23" s="32">
        <f>SUM(U9:U22)</f>
        <v>99.990257916156025</v>
      </c>
    </row>
    <row r="24" spans="1:21" ht="13.5" thickTop="1"/>
    <row r="25" spans="1:21">
      <c r="E25" s="52"/>
      <c r="G25" s="52"/>
      <c r="I25" s="52"/>
      <c r="O25" s="52"/>
      <c r="Q25" s="52"/>
      <c r="S25" s="52"/>
    </row>
    <row r="26" spans="1:21">
      <c r="E26" s="52"/>
      <c r="G26" s="52"/>
      <c r="O26" s="52"/>
      <c r="Q26" s="52"/>
    </row>
    <row r="27" spans="1:21">
      <c r="E27" s="52"/>
      <c r="Q27" s="52"/>
    </row>
  </sheetData>
  <mergeCells count="8">
    <mergeCell ref="A1:U1"/>
    <mergeCell ref="A2:U2"/>
    <mergeCell ref="A3:U3"/>
    <mergeCell ref="I7:K7"/>
    <mergeCell ref="S7:U7"/>
    <mergeCell ref="A5:U5"/>
    <mergeCell ref="C6:K6"/>
    <mergeCell ref="M6:U6"/>
  </mergeCells>
  <pageMargins left="0.39" right="0.39" top="0.39" bottom="0.39" header="0" footer="0"/>
  <pageSetup scale="4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I12"/>
  <sheetViews>
    <sheetView rightToLeft="1" view="pageBreakPreview" zoomScale="150" zoomScaleNormal="100" zoomScaleSheetLayoutView="150" workbookViewId="0">
      <selection activeCell="C14" sqref="C14"/>
    </sheetView>
  </sheetViews>
  <sheetFormatPr defaultRowHeight="12.75"/>
  <cols>
    <col min="1" max="1" width="40.28515625" customWidth="1"/>
    <col min="2" max="2" width="1.28515625" customWidth="1"/>
    <col min="3" max="3" width="19.42578125" customWidth="1"/>
    <col min="4" max="4" width="1.28515625" customWidth="1"/>
    <col min="5" max="5" width="20.7109375" customWidth="1"/>
    <col min="6" max="6" width="1.28515625" customWidth="1"/>
    <col min="7" max="7" width="19.42578125" customWidth="1"/>
    <col min="8" max="8" width="1.28515625" customWidth="1"/>
    <col min="9" max="9" width="19.42578125" customWidth="1"/>
    <col min="10" max="10" width="0.28515625" customWidth="1"/>
  </cols>
  <sheetData>
    <row r="1" spans="1:9" ht="29.1" customHeight="1">
      <c r="A1" s="61" t="str">
        <f>سهام!A1</f>
        <v>صندوق سرمایه گذاری کالایی درفش دماوند</v>
      </c>
      <c r="B1" s="61"/>
      <c r="C1" s="61"/>
      <c r="D1" s="61"/>
      <c r="E1" s="61"/>
      <c r="F1" s="61"/>
      <c r="G1" s="61"/>
      <c r="H1" s="61"/>
      <c r="I1" s="61"/>
    </row>
    <row r="2" spans="1:9" ht="21.75" customHeight="1">
      <c r="A2" s="61" t="s">
        <v>23</v>
      </c>
      <c r="B2" s="61"/>
      <c r="C2" s="61"/>
      <c r="D2" s="61"/>
      <c r="E2" s="61"/>
      <c r="F2" s="61"/>
      <c r="G2" s="61"/>
      <c r="H2" s="61"/>
      <c r="I2" s="61"/>
    </row>
    <row r="3" spans="1:9" ht="21.75" customHeight="1">
      <c r="A3" s="61" t="str">
        <f>سهام!A3</f>
        <v>برای ماه منتهی به 1405/01/31</v>
      </c>
      <c r="B3" s="61"/>
      <c r="C3" s="61"/>
      <c r="D3" s="61"/>
      <c r="E3" s="61"/>
      <c r="F3" s="61"/>
      <c r="G3" s="61"/>
      <c r="H3" s="61"/>
      <c r="I3" s="61"/>
    </row>
    <row r="4" spans="1:9" ht="14.45" customHeight="1"/>
    <row r="5" spans="1:9" ht="14.45" customHeight="1">
      <c r="A5" s="60" t="s">
        <v>62</v>
      </c>
      <c r="B5" s="60"/>
      <c r="C5" s="60"/>
      <c r="D5" s="60"/>
      <c r="E5" s="60"/>
      <c r="F5" s="60"/>
      <c r="G5" s="60"/>
      <c r="H5" s="60"/>
      <c r="I5" s="60"/>
    </row>
    <row r="6" spans="1:9" ht="14.45" customHeight="1">
      <c r="C6" s="62" t="s">
        <v>34</v>
      </c>
      <c r="D6" s="62"/>
      <c r="E6" s="62"/>
      <c r="G6" s="62" t="s">
        <v>35</v>
      </c>
      <c r="H6" s="62"/>
      <c r="I6" s="62"/>
    </row>
    <row r="7" spans="1:9" ht="36.4" customHeight="1">
      <c r="A7" s="30" t="s">
        <v>40</v>
      </c>
      <c r="C7" s="7" t="s">
        <v>41</v>
      </c>
      <c r="D7" s="3"/>
      <c r="E7" s="7" t="s">
        <v>42</v>
      </c>
      <c r="G7" s="7" t="s">
        <v>41</v>
      </c>
      <c r="H7" s="3"/>
      <c r="I7" s="7" t="s">
        <v>42</v>
      </c>
    </row>
    <row r="8" spans="1:9" ht="21.75" customHeight="1">
      <c r="A8" s="9" t="s">
        <v>21</v>
      </c>
      <c r="C8" s="11">
        <f>'سود سپرده بانکی'!C8</f>
        <v>7238956</v>
      </c>
      <c r="D8" s="14"/>
      <c r="E8" s="16">
        <f>C8/$C$10*100</f>
        <v>80.548207377009959</v>
      </c>
      <c r="F8" s="14"/>
      <c r="G8" s="11">
        <f>'سود سپرده بانکی'!I8</f>
        <v>42316677</v>
      </c>
      <c r="H8" s="14"/>
      <c r="I8" s="16">
        <f>G8/$G$10*100</f>
        <v>38.152506081236005</v>
      </c>
    </row>
    <row r="9" spans="1:9" ht="21.75" customHeight="1">
      <c r="A9" s="8" t="s">
        <v>86</v>
      </c>
      <c r="C9" s="12">
        <f>'سود سپرده بانکی'!C9</f>
        <v>1748154</v>
      </c>
      <c r="D9" s="14"/>
      <c r="E9" s="16">
        <f>C9/$C$10*100</f>
        <v>19.451792622990038</v>
      </c>
      <c r="F9" s="14"/>
      <c r="G9" s="12">
        <f>'سود سپرده بانکی'!I9</f>
        <v>68597864</v>
      </c>
      <c r="H9" s="14"/>
      <c r="I9" s="16">
        <f>G9/$G$10*100</f>
        <v>61.847493918763995</v>
      </c>
    </row>
    <row r="10" spans="1:9" ht="21.75" customHeight="1" thickBot="1">
      <c r="A10" s="20"/>
      <c r="C10" s="13">
        <f>SUM(C8:C9)</f>
        <v>8987110</v>
      </c>
      <c r="D10" s="14"/>
      <c r="E10" s="13">
        <f>SUM(E8:E9)</f>
        <v>100</v>
      </c>
      <c r="F10" s="14"/>
      <c r="G10" s="13">
        <f>SUM(G8:G9)</f>
        <v>110914541</v>
      </c>
      <c r="H10" s="14"/>
      <c r="I10" s="13">
        <f>SUM(I8:I9)</f>
        <v>100</v>
      </c>
    </row>
    <row r="11" spans="1:9" ht="13.5" thickTop="1">
      <c r="C11" s="23"/>
      <c r="G11" s="23"/>
    </row>
    <row r="12" spans="1:9">
      <c r="C12" s="23"/>
      <c r="G12" s="23"/>
    </row>
  </sheetData>
  <mergeCells count="6">
    <mergeCell ref="A5:I5"/>
    <mergeCell ref="C6:E6"/>
    <mergeCell ref="G6:I6"/>
    <mergeCell ref="A1:I1"/>
    <mergeCell ref="A2:I2"/>
    <mergeCell ref="A3:I3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DDE48-075C-4B6C-8A4C-42A7B6800DEA}">
  <sheetPr>
    <tabColor rgb="FF92D050"/>
    <pageSetUpPr fitToPage="1"/>
  </sheetPr>
  <dimension ref="A1:F10"/>
  <sheetViews>
    <sheetView rightToLeft="1" view="pageBreakPreview" zoomScale="98" zoomScaleNormal="100" zoomScaleSheetLayoutView="98" workbookViewId="0">
      <selection activeCell="D9" sqref="D9"/>
    </sheetView>
  </sheetViews>
  <sheetFormatPr defaultRowHeight="12.75"/>
  <cols>
    <col min="1" max="1" width="5.140625" style="34" customWidth="1"/>
    <col min="2" max="2" width="41.5703125" style="34" customWidth="1"/>
    <col min="3" max="3" width="1.28515625" style="34" customWidth="1"/>
    <col min="4" max="4" width="19.42578125" style="34" customWidth="1"/>
    <col min="5" max="5" width="1.28515625" style="34" customWidth="1"/>
    <col min="6" max="6" width="19.42578125" style="34" customWidth="1"/>
    <col min="7" max="7" width="0.28515625" style="34" customWidth="1"/>
    <col min="8" max="16384" width="9.140625" style="34"/>
  </cols>
  <sheetData>
    <row r="1" spans="1:6" ht="25.5">
      <c r="A1" s="70" t="str">
        <f>سهام!A1</f>
        <v>صندوق سرمایه گذاری کالایی درفش دماوند</v>
      </c>
      <c r="B1" s="70"/>
      <c r="C1" s="70"/>
      <c r="D1" s="70"/>
      <c r="E1" s="70"/>
      <c r="F1" s="70"/>
    </row>
    <row r="2" spans="1:6" ht="25.5">
      <c r="A2" s="70" t="s">
        <v>23</v>
      </c>
      <c r="B2" s="70"/>
      <c r="C2" s="70"/>
      <c r="D2" s="70"/>
      <c r="E2" s="70"/>
      <c r="F2" s="70"/>
    </row>
    <row r="3" spans="1:6" ht="25.5">
      <c r="A3" s="70" t="str">
        <f>سهام!A3</f>
        <v>برای ماه منتهی به 1405/01/31</v>
      </c>
      <c r="B3" s="70"/>
      <c r="C3" s="70"/>
      <c r="D3" s="70"/>
      <c r="E3" s="70"/>
      <c r="F3" s="70"/>
    </row>
    <row r="4" spans="1:6" ht="14.45" customHeight="1"/>
    <row r="5" spans="1:6" ht="29.1" customHeight="1">
      <c r="A5" s="42" t="s">
        <v>73</v>
      </c>
      <c r="B5" s="71" t="s">
        <v>72</v>
      </c>
      <c r="C5" s="71"/>
      <c r="D5" s="71"/>
      <c r="E5" s="71"/>
      <c r="F5" s="71"/>
    </row>
    <row r="6" spans="1:6" ht="21">
      <c r="D6" s="37" t="s">
        <v>34</v>
      </c>
      <c r="F6" s="37" t="s">
        <v>80</v>
      </c>
    </row>
    <row r="7" spans="1:6" ht="21">
      <c r="A7" s="72" t="s">
        <v>72</v>
      </c>
      <c r="B7" s="72"/>
      <c r="D7" s="41" t="s">
        <v>18</v>
      </c>
      <c r="F7" s="41" t="s">
        <v>18</v>
      </c>
    </row>
    <row r="8" spans="1:6" ht="31.5" customHeight="1">
      <c r="A8" s="68" t="s">
        <v>71</v>
      </c>
      <c r="B8" s="68"/>
      <c r="D8" s="43">
        <v>897305939</v>
      </c>
      <c r="E8" s="44"/>
      <c r="F8" s="43">
        <v>897305939</v>
      </c>
    </row>
    <row r="9" spans="1:6" ht="31.5" customHeight="1" thickBot="1">
      <c r="A9" s="69"/>
      <c r="B9" s="69"/>
      <c r="D9" s="45">
        <f>SUM(D8)</f>
        <v>897305939</v>
      </c>
      <c r="E9" s="44"/>
      <c r="F9" s="45">
        <f>SUM(F8)</f>
        <v>897305939</v>
      </c>
    </row>
    <row r="10" spans="1:6" ht="13.5" thickTop="1"/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1"/>
  <sheetViews>
    <sheetView rightToLeft="1" view="pageBreakPreview" zoomScale="118" zoomScaleNormal="100" zoomScaleSheetLayoutView="118" workbookViewId="0">
      <selection activeCell="O15" sqref="O15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85546875" bestFit="1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61" t="str">
        <f>سهام!A1</f>
        <v>صندوق سرمایه گذاری کالایی درفش دماوند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21.75" customHeight="1">
      <c r="A2" s="61" t="s">
        <v>23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21.75" customHeight="1">
      <c r="A3" s="61" t="str">
        <f>سهام!A3</f>
        <v>برای ماه منتهی به 1405/01/31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ht="14.45" customHeight="1"/>
    <row r="5" spans="1:13" ht="14.45" customHeight="1">
      <c r="A5" s="67" t="s">
        <v>46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3" ht="14.45" customHeight="1">
      <c r="A6" s="62" t="s">
        <v>26</v>
      </c>
      <c r="C6" s="62" t="s">
        <v>34</v>
      </c>
      <c r="D6" s="62"/>
      <c r="E6" s="62"/>
      <c r="F6" s="62"/>
      <c r="G6" s="62"/>
      <c r="I6" s="62" t="s">
        <v>35</v>
      </c>
      <c r="J6" s="62"/>
      <c r="K6" s="62"/>
      <c r="L6" s="62"/>
      <c r="M6" s="62"/>
    </row>
    <row r="7" spans="1:13" ht="29.1" customHeight="1">
      <c r="A7" s="62"/>
      <c r="C7" s="7" t="s">
        <v>44</v>
      </c>
      <c r="D7" s="3"/>
      <c r="E7" s="7" t="s">
        <v>43</v>
      </c>
      <c r="F7" s="3"/>
      <c r="G7" s="7" t="s">
        <v>45</v>
      </c>
      <c r="I7" s="7" t="s">
        <v>44</v>
      </c>
      <c r="J7" s="3"/>
      <c r="K7" s="7" t="s">
        <v>43</v>
      </c>
      <c r="L7" s="3"/>
      <c r="M7" s="55" t="s">
        <v>45</v>
      </c>
    </row>
    <row r="8" spans="1:13" ht="21.75" customHeight="1">
      <c r="A8" s="5" t="s">
        <v>21</v>
      </c>
      <c r="C8" s="11">
        <v>7238956</v>
      </c>
      <c r="D8" s="14"/>
      <c r="E8" s="11">
        <v>0</v>
      </c>
      <c r="F8" s="14"/>
      <c r="G8" s="11">
        <f>C8-E8</f>
        <v>7238956</v>
      </c>
      <c r="H8" s="14"/>
      <c r="I8" s="11">
        <v>42316677</v>
      </c>
      <c r="J8" s="14"/>
      <c r="K8" s="11">
        <v>0</v>
      </c>
      <c r="L8" s="14"/>
      <c r="M8" s="12">
        <f>I8-K8</f>
        <v>42316677</v>
      </c>
    </row>
    <row r="9" spans="1:13" ht="21.75" customHeight="1">
      <c r="A9" s="6" t="s">
        <v>86</v>
      </c>
      <c r="C9" s="12">
        <v>1748154</v>
      </c>
      <c r="D9" s="14"/>
      <c r="E9" s="12">
        <v>0</v>
      </c>
      <c r="F9" s="14"/>
      <c r="G9" s="54">
        <f>C9-E9</f>
        <v>1748154</v>
      </c>
      <c r="H9" s="14"/>
      <c r="I9" s="12">
        <v>68597864</v>
      </c>
      <c r="J9" s="14"/>
      <c r="K9" s="12">
        <v>0</v>
      </c>
      <c r="L9" s="14"/>
      <c r="M9" s="12">
        <f>I9-K9</f>
        <v>68597864</v>
      </c>
    </row>
    <row r="10" spans="1:13" ht="21.75" customHeight="1">
      <c r="A10" s="20"/>
      <c r="C10" s="13">
        <f>SUM(C8:C9)</f>
        <v>8987110</v>
      </c>
      <c r="D10" s="14"/>
      <c r="E10" s="13">
        <v>0</v>
      </c>
      <c r="F10" s="14"/>
      <c r="G10" s="53">
        <f>SUM(G8:G9)</f>
        <v>8987110</v>
      </c>
      <c r="H10" s="14"/>
      <c r="I10" s="13">
        <f>SUM(I8:I9)</f>
        <v>110914541</v>
      </c>
      <c r="J10" s="14"/>
      <c r="K10" s="13">
        <v>0</v>
      </c>
      <c r="L10" s="14"/>
      <c r="M10" s="13">
        <f>SUM(M8:M9)</f>
        <v>110914541</v>
      </c>
    </row>
    <row r="11" spans="1:13">
      <c r="C11" s="23"/>
      <c r="I11" s="2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S16"/>
  <sheetViews>
    <sheetView rightToLeft="1" view="pageBreakPreview" zoomScale="118" zoomScaleNormal="100" zoomScaleSheetLayoutView="118" workbookViewId="0">
      <selection activeCell="K27" sqref="K27"/>
    </sheetView>
  </sheetViews>
  <sheetFormatPr defaultRowHeight="12.75"/>
  <cols>
    <col min="1" max="1" width="40.28515625" customWidth="1"/>
    <col min="2" max="2" width="1.28515625" customWidth="1"/>
    <col min="3" max="3" width="8.28515625" bestFit="1" customWidth="1"/>
    <col min="4" max="4" width="1.28515625" customWidth="1"/>
    <col min="5" max="5" width="17.42578125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8.140625" bestFit="1" customWidth="1"/>
    <col min="12" max="12" width="1.28515625" customWidth="1"/>
    <col min="13" max="13" width="17.5703125" bestFit="1" customWidth="1"/>
    <col min="14" max="14" width="1.28515625" customWidth="1"/>
    <col min="15" max="15" width="17.7109375" bestFit="1" customWidth="1"/>
    <col min="16" max="16" width="1.28515625" customWidth="1"/>
    <col min="17" max="17" width="21.85546875" bestFit="1" customWidth="1"/>
    <col min="18" max="18" width="17.28515625" bestFit="1" customWidth="1"/>
    <col min="19" max="19" width="16.42578125" bestFit="1" customWidth="1"/>
  </cols>
  <sheetData>
    <row r="1" spans="1:19" ht="29.1" customHeight="1">
      <c r="A1" s="61" t="str">
        <f>سهام!A1</f>
        <v>صندوق سرمایه گذاری کالایی درفش دماوند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9" ht="21.75" customHeight="1">
      <c r="A2" s="61" t="s">
        <v>23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9" ht="21.75" customHeight="1">
      <c r="A3" s="61" t="str">
        <f>سهام!A3</f>
        <v>برای ماه منتهی به 1405/01/31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9" ht="14.45" customHeight="1"/>
    <row r="5" spans="1:19" ht="14.45" customHeight="1">
      <c r="A5" s="67" t="s">
        <v>47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spans="1:19" ht="14.45" customHeight="1">
      <c r="A6" s="62" t="s">
        <v>26</v>
      </c>
      <c r="C6" s="62" t="s">
        <v>34</v>
      </c>
      <c r="D6" s="62"/>
      <c r="E6" s="62"/>
      <c r="F6" s="62"/>
      <c r="G6" s="62"/>
      <c r="H6" s="62"/>
      <c r="I6" s="62"/>
      <c r="K6" s="62" t="s">
        <v>35</v>
      </c>
      <c r="L6" s="62"/>
      <c r="M6" s="62"/>
      <c r="N6" s="62"/>
      <c r="O6" s="62"/>
      <c r="P6" s="62"/>
      <c r="Q6" s="62"/>
    </row>
    <row r="7" spans="1:19" ht="29.1" customHeight="1">
      <c r="A7" s="62"/>
      <c r="C7" s="7" t="s">
        <v>4</v>
      </c>
      <c r="D7" s="3"/>
      <c r="E7" s="7" t="s">
        <v>48</v>
      </c>
      <c r="F7" s="3"/>
      <c r="G7" s="7" t="s">
        <v>49</v>
      </c>
      <c r="H7" s="3"/>
      <c r="I7" s="7" t="s">
        <v>50</v>
      </c>
      <c r="K7" s="7" t="s">
        <v>4</v>
      </c>
      <c r="L7" s="3"/>
      <c r="M7" s="7" t="s">
        <v>48</v>
      </c>
      <c r="N7" s="3"/>
      <c r="O7" s="7" t="s">
        <v>49</v>
      </c>
      <c r="P7" s="3"/>
      <c r="Q7" s="7" t="s">
        <v>50</v>
      </c>
    </row>
    <row r="8" spans="1:19" ht="21.75" customHeight="1">
      <c r="A8" s="5" t="s">
        <v>15</v>
      </c>
      <c r="C8" s="11">
        <v>11040</v>
      </c>
      <c r="D8" s="14"/>
      <c r="E8" s="11">
        <v>258909102967</v>
      </c>
      <c r="F8" s="14"/>
      <c r="G8" s="11">
        <v>164935146842</v>
      </c>
      <c r="H8" s="14"/>
      <c r="I8" s="11">
        <f>E8-G8</f>
        <v>93973956125</v>
      </c>
      <c r="J8" s="14"/>
      <c r="K8" s="11">
        <v>458218</v>
      </c>
      <c r="L8" s="14"/>
      <c r="M8" s="11">
        <v>8129835839597</v>
      </c>
      <c r="N8" s="14"/>
      <c r="O8" s="11">
        <v>5943082902808</v>
      </c>
      <c r="P8" s="14"/>
      <c r="Q8" s="12">
        <f>M8-O8</f>
        <v>2186752936789</v>
      </c>
      <c r="R8" s="23"/>
      <c r="S8" s="23"/>
    </row>
    <row r="9" spans="1:19" ht="21.75" customHeight="1">
      <c r="A9" s="6" t="s">
        <v>39</v>
      </c>
      <c r="C9" s="17">
        <v>0</v>
      </c>
      <c r="D9" s="14"/>
      <c r="E9" s="17">
        <v>0</v>
      </c>
      <c r="F9" s="14"/>
      <c r="G9" s="17">
        <v>0</v>
      </c>
      <c r="H9" s="14"/>
      <c r="I9" s="17">
        <v>0</v>
      </c>
      <c r="J9" s="14"/>
      <c r="K9" s="17">
        <v>400</v>
      </c>
      <c r="L9" s="14"/>
      <c r="M9" s="17">
        <v>453751209824</v>
      </c>
      <c r="N9" s="14"/>
      <c r="O9" s="17">
        <v>403592662799</v>
      </c>
      <c r="P9" s="14"/>
      <c r="Q9" s="12">
        <f>M9-O9</f>
        <v>50158547025</v>
      </c>
      <c r="R9" s="23"/>
    </row>
    <row r="10" spans="1:19" ht="21.75" customHeight="1" thickBot="1">
      <c r="A10" s="20"/>
      <c r="C10" s="13">
        <f>SUM(C8:C9)</f>
        <v>11040</v>
      </c>
      <c r="D10" s="14"/>
      <c r="E10" s="13">
        <f>SUM(E8:E9)</f>
        <v>258909102967</v>
      </c>
      <c r="F10" s="14"/>
      <c r="G10" s="13">
        <f>SUM(G8:G9)</f>
        <v>164935146842</v>
      </c>
      <c r="H10" s="14"/>
      <c r="I10" s="13">
        <f>SUM(I8:I9)</f>
        <v>93973956125</v>
      </c>
      <c r="J10" s="14"/>
      <c r="K10" s="13">
        <f>SUM(K8:K9)</f>
        <v>458618</v>
      </c>
      <c r="L10" s="14"/>
      <c r="M10" s="13">
        <f>SUM(M8:M9)</f>
        <v>8583587049421</v>
      </c>
      <c r="N10" s="14"/>
      <c r="O10" s="13">
        <f>SUM(O8:O9)</f>
        <v>6346675565607</v>
      </c>
      <c r="P10" s="14"/>
      <c r="Q10" s="13">
        <f>SUM(Q8:Q9)</f>
        <v>2236911483814</v>
      </c>
      <c r="R10" s="23"/>
    </row>
    <row r="11" spans="1:19" ht="13.5" thickTop="1">
      <c r="I11" s="23"/>
      <c r="Q11" s="48"/>
      <c r="R11" s="48"/>
    </row>
    <row r="12" spans="1:19">
      <c r="I12" s="23"/>
      <c r="Q12" s="23"/>
      <c r="R12" s="23"/>
    </row>
    <row r="13" spans="1:19">
      <c r="Q13" s="23"/>
    </row>
    <row r="15" spans="1:19">
      <c r="Q15" s="23"/>
    </row>
    <row r="16" spans="1:19">
      <c r="G16" s="2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0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dcterms:created xsi:type="dcterms:W3CDTF">2025-12-22T10:16:58Z</dcterms:created>
  <dcterms:modified xsi:type="dcterms:W3CDTF">2026-04-27T05:25:45Z</dcterms:modified>
</cp:coreProperties>
</file>