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بهمن ماه\"/>
    </mc:Choice>
  </mc:AlternateContent>
  <xr:revisionPtr revIDLastSave="0" documentId="13_ncr:1_{181563F9-6CAB-42AF-A872-EC78C64B190A}" xr6:coauthVersionLast="47" xr6:coauthVersionMax="47" xr10:uidLastSave="{00000000-0000-0000-0000-000000000000}"/>
  <bookViews>
    <workbookView xWindow="-120" yWindow="-120" windowWidth="29040" windowHeight="15840" tabRatio="952" activeTab="1" xr2:uid="{00000000-000D-0000-FFFF-FFFF00000000}"/>
  </bookViews>
  <sheets>
    <sheet name="0" sheetId="25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24" r:id="rId8"/>
    <sheet name="سود سپرده بانکی" sheetId="18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مشتقه'!$A$1:$AX$12</definedName>
    <definedName name="_xlnm.Print_Area" localSheetId="4">درآمد!$A$1:$K$11</definedName>
    <definedName name="_xlnm.Print_Area" localSheetId="10">'درآمد اعمال اختیار'!$A$1:$L$22</definedName>
    <definedName name="_xlnm.Print_Area" localSheetId="6">'درآمد سپرده بانکی'!$A$1:$J$10</definedName>
    <definedName name="_xlnm.Print_Area" localSheetId="5">'درآمد سرمایه گذاری در سهام'!$A$1:$V$24</definedName>
    <definedName name="_xlnm.Print_Area" localSheetId="11">'درآمد ناشی از تغییر قیمت اوراق'!$A$1:$R$14</definedName>
    <definedName name="_xlnm.Print_Area" localSheetId="9">'درآمد ناشی از فروش'!$A$1:$Q$10</definedName>
    <definedName name="_xlnm.Print_Area" localSheetId="7">'سایر درآمدها'!$A$1:$G$18</definedName>
    <definedName name="_xlnm.Print_Area" localSheetId="3">سپرده!$A$1:$L$11</definedName>
    <definedName name="_xlnm.Print_Area" localSheetId="8">'سود سپرده بانکی'!$A$1:$N$10</definedName>
    <definedName name="_xlnm.Print_Area" localSheetId="1">سهام!$A$1:$Y$15</definedName>
  </definedNames>
  <calcPr calcId="191029"/>
</workbook>
</file>

<file path=xl/calcChain.xml><?xml version="1.0" encoding="utf-8"?>
<calcChain xmlns="http://schemas.openxmlformats.org/spreadsheetml/2006/main">
  <c r="K23" i="9" l="1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9" i="9"/>
  <c r="I9" i="21"/>
  <c r="I10" i="21"/>
  <c r="I11" i="21"/>
  <c r="I12" i="21"/>
  <c r="I13" i="21"/>
  <c r="Q9" i="19"/>
  <c r="Q8" i="19"/>
  <c r="I8" i="19"/>
  <c r="G9" i="9" s="1"/>
  <c r="S11" i="9"/>
  <c r="S12" i="9"/>
  <c r="S13" i="9"/>
  <c r="S14" i="9"/>
  <c r="S15" i="9"/>
  <c r="S16" i="9"/>
  <c r="S17" i="9"/>
  <c r="S18" i="9"/>
  <c r="S19" i="9"/>
  <c r="S20" i="9"/>
  <c r="S21" i="9"/>
  <c r="S22" i="9"/>
  <c r="I16" i="9"/>
  <c r="I17" i="9"/>
  <c r="I18" i="9"/>
  <c r="I19" i="9"/>
  <c r="I20" i="9"/>
  <c r="I21" i="9"/>
  <c r="I22" i="9"/>
  <c r="I10" i="9"/>
  <c r="G11" i="9"/>
  <c r="G12" i="9"/>
  <c r="G13" i="9"/>
  <c r="G14" i="9"/>
  <c r="G15" i="9"/>
  <c r="G16" i="9"/>
  <c r="G17" i="9"/>
  <c r="G18" i="9"/>
  <c r="G19" i="9"/>
  <c r="G20" i="9"/>
  <c r="G21" i="9"/>
  <c r="G22" i="9"/>
  <c r="Q12" i="9"/>
  <c r="Q13" i="9"/>
  <c r="Q14" i="9"/>
  <c r="Q15" i="9"/>
  <c r="Q16" i="9"/>
  <c r="Q17" i="9"/>
  <c r="Q18" i="9"/>
  <c r="Q19" i="9"/>
  <c r="Q20" i="9"/>
  <c r="Q21" i="9"/>
  <c r="Q22" i="9"/>
  <c r="Q11" i="9"/>
  <c r="Q10" i="9"/>
  <c r="S10" i="9" s="1"/>
  <c r="Q9" i="9"/>
  <c r="S9" i="9" s="1"/>
  <c r="S23" i="9" s="1"/>
  <c r="O9" i="9"/>
  <c r="E11" i="9"/>
  <c r="I11" i="9" s="1"/>
  <c r="E12" i="9"/>
  <c r="I12" i="9" s="1"/>
  <c r="E13" i="9"/>
  <c r="I13" i="9" s="1"/>
  <c r="E14" i="9"/>
  <c r="I14" i="9" s="1"/>
  <c r="E15" i="9"/>
  <c r="I15" i="9" s="1"/>
  <c r="E9" i="9"/>
  <c r="I8" i="21"/>
  <c r="Q8" i="21"/>
  <c r="E21" i="23"/>
  <c r="F21" i="23"/>
  <c r="H21" i="23"/>
  <c r="L21" i="23"/>
  <c r="J21" i="23"/>
  <c r="K10" i="7"/>
  <c r="K9" i="7"/>
  <c r="I9" i="7"/>
  <c r="Y15" i="2"/>
  <c r="Y14" i="2"/>
  <c r="O15" i="2"/>
  <c r="M9" i="18"/>
  <c r="G9" i="13" s="1"/>
  <c r="M8" i="18"/>
  <c r="G9" i="18"/>
  <c r="G8" i="18"/>
  <c r="C8" i="13" s="1"/>
  <c r="I10" i="18"/>
  <c r="C10" i="18"/>
  <c r="I10" i="7"/>
  <c r="Y10" i="2"/>
  <c r="Y11" i="2"/>
  <c r="Y12" i="2"/>
  <c r="Y13" i="2"/>
  <c r="Y9" i="2"/>
  <c r="U15" i="2"/>
  <c r="A3" i="21"/>
  <c r="A3" i="23"/>
  <c r="A3" i="19"/>
  <c r="A3" i="24"/>
  <c r="A3" i="18"/>
  <c r="A3" i="13"/>
  <c r="A3" i="9"/>
  <c r="A3" i="8"/>
  <c r="A3" i="7"/>
  <c r="A3" i="3"/>
  <c r="A1" i="21"/>
  <c r="A1" i="23"/>
  <c r="A1" i="19"/>
  <c r="A1" i="24"/>
  <c r="A1" i="18"/>
  <c r="A1" i="13"/>
  <c r="A1" i="9"/>
  <c r="A1" i="8"/>
  <c r="A1" i="7"/>
  <c r="A1" i="3"/>
  <c r="I14" i="21" l="1"/>
  <c r="I9" i="9"/>
  <c r="Q23" i="9"/>
  <c r="Q27" i="9" s="1"/>
  <c r="M10" i="18"/>
  <c r="G8" i="13"/>
  <c r="G10" i="13" s="1"/>
  <c r="I9" i="13" s="1"/>
  <c r="G10" i="18"/>
  <c r="C9" i="13"/>
  <c r="C10" i="13" s="1"/>
  <c r="M9" i="8"/>
  <c r="D9" i="24"/>
  <c r="F9" i="24"/>
  <c r="F10" i="8" s="1"/>
  <c r="J10" i="8" s="1"/>
  <c r="I8" i="13" l="1"/>
  <c r="I10" i="13" s="1"/>
  <c r="N9" i="8"/>
  <c r="E8" i="13"/>
  <c r="M10" i="8"/>
  <c r="N10" i="8"/>
  <c r="F9" i="8"/>
  <c r="J9" i="8" s="1"/>
  <c r="M23" i="9"/>
  <c r="C23" i="9"/>
  <c r="C14" i="21"/>
  <c r="E14" i="21"/>
  <c r="G14" i="21"/>
  <c r="K14" i="21"/>
  <c r="M14" i="21"/>
  <c r="O14" i="21"/>
  <c r="E9" i="13"/>
  <c r="E10" i="13" s="1"/>
  <c r="K10" i="19"/>
  <c r="C10" i="19"/>
  <c r="E10" i="19"/>
  <c r="G10" i="19"/>
  <c r="I10" i="19"/>
  <c r="O10" i="19"/>
  <c r="M10" i="19"/>
  <c r="E23" i="9" l="1"/>
  <c r="E27" i="9" s="1"/>
  <c r="O23" i="9"/>
  <c r="I23" i="9"/>
  <c r="G23" i="9"/>
  <c r="F8" i="8"/>
  <c r="Q14" i="21"/>
  <c r="Q10" i="19"/>
  <c r="C11" i="7"/>
  <c r="E11" i="7"/>
  <c r="G11" i="7"/>
  <c r="W15" i="2"/>
  <c r="W20" i="2" s="1"/>
  <c r="Q15" i="2"/>
  <c r="M15" i="2"/>
  <c r="K15" i="2"/>
  <c r="I15" i="2"/>
  <c r="G15" i="2"/>
  <c r="E15" i="2"/>
  <c r="C15" i="2"/>
  <c r="K12" i="3"/>
  <c r="AO12" i="3"/>
  <c r="F11" i="8" l="1"/>
  <c r="J8" i="8"/>
  <c r="J11" i="8" s="1"/>
  <c r="M8" i="8"/>
  <c r="M11" i="8" s="1"/>
  <c r="N8" i="8"/>
  <c r="I11" i="7"/>
  <c r="K11" i="7"/>
  <c r="U10" i="9" l="1"/>
  <c r="F14" i="8"/>
  <c r="U15" i="9"/>
  <c r="U22" i="9"/>
  <c r="U18" i="9"/>
  <c r="U16" i="9"/>
  <c r="H8" i="8"/>
  <c r="U13" i="9"/>
  <c r="U21" i="9"/>
  <c r="U12" i="9"/>
  <c r="U17" i="9"/>
  <c r="H10" i="8"/>
  <c r="U19" i="9"/>
  <c r="U14" i="9"/>
  <c r="U20" i="9"/>
  <c r="H9" i="8"/>
  <c r="U9" i="9"/>
  <c r="U11" i="9"/>
  <c r="H11" i="8" l="1"/>
  <c r="U23" i="9"/>
</calcChain>
</file>

<file path=xl/sharedStrings.xml><?xml version="1.0" encoding="utf-8"?>
<sst xmlns="http://schemas.openxmlformats.org/spreadsheetml/2006/main" count="253" uniqueCount="95">
  <si>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</si>
  <si>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</si>
  <si>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</si>
  <si>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</si>
  <si>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</si>
  <si>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</si>
  <si>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</si>
  <si>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</si>
  <si>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</si>
  <si>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</si>
  <si>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</si>
  <si>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</si>
  <si>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</si>
  <si>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</si>
  <si>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</si>
  <si>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</si>
  <si>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</si>
  <si>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</si>
  <si>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</si>
  <si>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</si>
  <si>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</si>
  <si>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</si>
  <si>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</si>
  <si>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</si>
  <si>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</si>
  <si>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</si>
  <si>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</si>
  <si>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</si>
  <si>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</si>
  <si>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</si>
  <si>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</si>
  <si>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</si>
  <si>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</si>
  <si>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</si>
  <si>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</si>
  <si>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</si>
  <si>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</si>
  <si>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</si>
  <si>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</si>
  <si>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</si>
  <si>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</si>
  <si>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</si>
  <si>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</si>
  <si>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</si>
  <si>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</si>
  <si>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</si>
  <si>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</si>
  <si>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</si>
  <si>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</si>
  <si>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</si>
  <si>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</si>
  <si>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</si>
  <si>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</si>
  <si>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</si>
  <si>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</si>
  <si>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</si>
  <si>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</si>
  <si>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</si>
  <si>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</si>
  <si>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</si>
  <si>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</si>
  <si>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</si>
  <si>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</si>
  <si>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</si>
  <si>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</si>
  <si>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</si>
  <si>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</si>
  <si>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</si>
  <si>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</si>
  <si>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</si>
  <si>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 سپرده‌ بانکی</t>
  </si>
  <si>
    <t>1-2-درآمد حاصل از سرمایه­گذاری در سهام و حق تقدم سهام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</si>
  <si>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</si>
  <si>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</si>
  <si>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</si>
  <si>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</si>
  <si>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</si>
  <si>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</si>
  <si>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</si>
  <si>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</si>
  <si>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</si>
  <si>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</si>
  <si>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</si>
  <si>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</si>
  <si>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</si>
  <si>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</si>
  <si>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</si>
  <si>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</si>
  <si>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</si>
  <si>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</si>
  <si>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1404/10/30</t>
  </si>
  <si>
    <t>‫برای ماه منتهی به 30 بهمن ماه 1404</t>
  </si>
  <si>
    <t>1404/11/30</t>
  </si>
  <si>
    <t>برای ماه منتهی به 1404/11/30</t>
  </si>
  <si>
    <t>1404/11/19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</si>
</sst>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6">
    <xf numFmtId="0" fontId="0" fillId="0" borderId="0"/>
    <xf numFmtId="0" fontId="6" fillId="0" borderId="0"/>
    <xf numFmtId="0" fontId="9" fillId="0" borderId="0"/>
    <xf numFmtId="0" fontId="12" fillId="0" borderId="0"/>
    <xf numFmtId="164" fontId="15" fillId="0" borderId="0" applyFont="0" applyFill="0" applyBorder="0" applyAlignment="0" applyProtection="0"/>
    <xf numFmtId="0" fontId="1" fillId="0" borderId="0"/>
  </cellStyleXfs>
  <cellXfs count="8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10" fillId="0" borderId="0" xfId="2" applyFont="1"/>
    <xf numFmtId="0" fontId="11" fillId="0" borderId="0" xfId="2" applyFont="1"/>
    <xf numFmtId="0" fontId="13" fillId="0" borderId="0" xfId="3" applyFont="1"/>
    <xf numFmtId="3" fontId="0" fillId="0" borderId="0" xfId="0" applyNumberFormat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3" fontId="16" fillId="2" borderId="11" xfId="5" applyNumberFormat="1" applyFont="1" applyFill="1" applyBorder="1" applyAlignment="1">
      <alignment horizontal="left" vertical="center" wrapText="1" shrinkToFit="1" readingOrder="2"/>
    </xf>
    <xf numFmtId="37" fontId="14" fillId="0" borderId="0" xfId="3" applyNumberFormat="1" applyFont="1" applyAlignment="1">
      <alignment horizontal="center" vertical="center"/>
    </xf>
    <xf numFmtId="37" fontId="14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dimension ref="A15:I27"/>
  <sheetViews>
    <sheetView rightToLeft="1" view="pageBreakPreview" zoomScaleNormal="100" zoomScaleSheetLayoutView="100" workbookViewId="0">
      <selection activeCell="A19" sqref="A19"/>
    </sheetView>
  </sheetViews>
  <sheetFormatPr defaultRowHeight="18.75"/>
  <cols>
    <col min="1" max="16384" width="9.140625" style="54"/>
  </cols>
  <sheetData>
    <row r="15" spans="1:9" ht="33.75" customHeight="1">
      <c r="A15" s="63" t="s">
        <v>89</v>
      </c>
      <c r="B15" s="63"/>
      <c r="C15" s="63"/>
      <c r="D15" s="63"/>
      <c r="E15" s="63"/>
      <c r="F15" s="63"/>
      <c r="G15" s="63"/>
      <c r="H15" s="63"/>
      <c r="I15" s="63"/>
    </row>
    <row r="16" spans="1:9" ht="33.75" customHeight="1">
      <c r="A16" s="63" t="s">
        <v>88</v>
      </c>
      <c r="B16" s="63"/>
      <c r="C16" s="63"/>
      <c r="D16" s="63"/>
      <c r="E16" s="63"/>
      <c r="F16" s="63"/>
      <c r="G16" s="63"/>
      <c r="H16" s="63"/>
      <c r="I16" s="63"/>
    </row>
    <row r="17" spans="1:9" ht="33.75" customHeight="1">
      <c r="A17" s="64" t="s">
        <v>87</v>
      </c>
      <c r="B17" s="64"/>
      <c r="C17" s="64"/>
      <c r="D17" s="64"/>
      <c r="E17" s="64"/>
      <c r="F17" s="64"/>
      <c r="G17" s="64"/>
      <c r="H17" s="64"/>
      <c r="I17" s="64"/>
    </row>
    <row r="18" spans="1:9" ht="33.75" customHeight="1">
      <c r="A18" s="63" t="s">
        <v>91</v>
      </c>
      <c r="B18" s="63"/>
      <c r="C18" s="63"/>
      <c r="D18" s="63"/>
      <c r="E18" s="63"/>
      <c r="F18" s="63"/>
      <c r="G18" s="63"/>
      <c r="H18" s="63"/>
      <c r="I18" s="63"/>
    </row>
    <row r="19" spans="1:9">
      <c r="A19" s="56"/>
      <c r="B19" s="56"/>
      <c r="C19" s="56"/>
      <c r="D19" s="56"/>
      <c r="E19" s="56"/>
      <c r="F19" s="56"/>
      <c r="G19" s="56"/>
      <c r="H19" s="56"/>
      <c r="I19" s="56"/>
    </row>
    <row r="20" spans="1:9">
      <c r="A20" s="56"/>
      <c r="B20" s="56"/>
      <c r="C20" s="56"/>
      <c r="D20" s="56"/>
      <c r="E20" s="56"/>
      <c r="F20" s="56"/>
      <c r="G20" s="56"/>
      <c r="H20" s="56"/>
      <c r="I20" s="56"/>
    </row>
    <row r="21" spans="1:9">
      <c r="A21" s="56"/>
      <c r="B21" s="56"/>
      <c r="C21" s="56"/>
      <c r="D21" s="56"/>
      <c r="E21" s="56"/>
      <c r="F21" s="56"/>
      <c r="G21" s="56"/>
      <c r="H21" s="56"/>
      <c r="I21" s="56"/>
    </row>
    <row r="22" spans="1:9">
      <c r="A22" s="56"/>
      <c r="B22" s="56"/>
      <c r="C22" s="56"/>
      <c r="D22" s="56"/>
      <c r="E22" s="56"/>
      <c r="F22" s="56"/>
      <c r="G22" s="56"/>
      <c r="H22" s="56"/>
      <c r="I22" s="56"/>
    </row>
    <row r="23" spans="1:9">
      <c r="A23" s="56"/>
      <c r="B23" s="56"/>
      <c r="C23" s="56"/>
      <c r="D23" s="56"/>
      <c r="E23" s="56"/>
      <c r="F23" s="56"/>
      <c r="G23" s="56"/>
      <c r="H23" s="56"/>
      <c r="I23" s="56"/>
    </row>
    <row r="24" spans="1:9" ht="34.5" customHeight="1">
      <c r="A24" s="56"/>
      <c r="B24" s="56"/>
      <c r="C24" s="56"/>
      <c r="D24" s="56"/>
      <c r="E24" s="56"/>
      <c r="F24" s="56"/>
      <c r="G24" s="56"/>
      <c r="H24" s="56"/>
      <c r="I24" s="56"/>
    </row>
    <row r="27" spans="1:9">
      <c r="C27" s="55" t="s">
        <v>86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3"/>
  <sheetViews>
    <sheetView rightToLeft="1" view="pageBreakPreview" zoomScale="118" zoomScaleNormal="100" zoomScaleSheetLayoutView="118" workbookViewId="0">
      <selection activeCell="R11" sqref="R11"/>
    </sheetView>
  </sheetViews>
  <sheetFormatPr defaultRowHeight="12.75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8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1.85546875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9" ht="21.75" customHeight="1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9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9" ht="14.45" customHeight="1"/>
    <row r="5" spans="1:19" ht="14.45" customHeight="1">
      <c r="A5" s="69" t="s">
        <v>57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9" ht="14.45" customHeight="1">
      <c r="A6" s="68" t="s">
        <v>36</v>
      </c>
      <c r="C6" s="68" t="s">
        <v>44</v>
      </c>
      <c r="D6" s="68"/>
      <c r="E6" s="68"/>
      <c r="F6" s="68"/>
      <c r="G6" s="68"/>
      <c r="H6" s="68"/>
      <c r="I6" s="68"/>
      <c r="K6" s="68" t="s">
        <v>45</v>
      </c>
      <c r="L6" s="68"/>
      <c r="M6" s="68"/>
      <c r="N6" s="68"/>
      <c r="O6" s="68"/>
      <c r="P6" s="68"/>
      <c r="Q6" s="68"/>
    </row>
    <row r="7" spans="1:19" ht="29.1" customHeight="1">
      <c r="A7" s="68"/>
      <c r="C7" s="7" t="s">
        <v>4</v>
      </c>
      <c r="D7" s="3"/>
      <c r="E7" s="7" t="s">
        <v>58</v>
      </c>
      <c r="F7" s="3"/>
      <c r="G7" s="7" t="s">
        <v>59</v>
      </c>
      <c r="H7" s="3"/>
      <c r="I7" s="7" t="s">
        <v>60</v>
      </c>
      <c r="K7" s="7" t="s">
        <v>4</v>
      </c>
      <c r="L7" s="3"/>
      <c r="M7" s="7" t="s">
        <v>58</v>
      </c>
      <c r="N7" s="3"/>
      <c r="O7" s="7" t="s">
        <v>59</v>
      </c>
      <c r="P7" s="3"/>
      <c r="Q7" s="7" t="s">
        <v>60</v>
      </c>
    </row>
    <row r="8" spans="1:19" ht="21.75" customHeight="1">
      <c r="A8" s="5" t="s">
        <v>15</v>
      </c>
      <c r="C8" s="11">
        <v>64517</v>
      </c>
      <c r="D8" s="14"/>
      <c r="E8" s="11">
        <v>1538497346003</v>
      </c>
      <c r="F8" s="14"/>
      <c r="G8" s="11">
        <v>880649152153</v>
      </c>
      <c r="H8" s="14"/>
      <c r="I8" s="11">
        <f>E8-G8</f>
        <v>657848193850</v>
      </c>
      <c r="J8" s="14"/>
      <c r="K8" s="11">
        <v>421348</v>
      </c>
      <c r="L8" s="14"/>
      <c r="M8" s="11">
        <v>7233001686435</v>
      </c>
      <c r="N8" s="14"/>
      <c r="O8" s="11">
        <v>5409463423488</v>
      </c>
      <c r="P8" s="14"/>
      <c r="Q8" s="11">
        <f>M8-O8</f>
        <v>1823538262947</v>
      </c>
      <c r="R8" s="23"/>
      <c r="S8" s="23"/>
    </row>
    <row r="9" spans="1:19" ht="21.75" customHeight="1">
      <c r="A9" s="6" t="s">
        <v>49</v>
      </c>
      <c r="C9" s="17">
        <v>0</v>
      </c>
      <c r="D9" s="14"/>
      <c r="E9" s="17">
        <v>0</v>
      </c>
      <c r="F9" s="14"/>
      <c r="G9" s="17">
        <v>0</v>
      </c>
      <c r="H9" s="14"/>
      <c r="I9" s="17">
        <v>0</v>
      </c>
      <c r="J9" s="14"/>
      <c r="K9" s="17">
        <v>400</v>
      </c>
      <c r="L9" s="14"/>
      <c r="M9" s="17">
        <v>453751209824</v>
      </c>
      <c r="N9" s="14"/>
      <c r="O9" s="17">
        <v>403592662799</v>
      </c>
      <c r="P9" s="14"/>
      <c r="Q9" s="86">
        <f>M9-O9</f>
        <v>50158547025</v>
      </c>
      <c r="R9" s="23"/>
    </row>
    <row r="10" spans="1:19" ht="21.75" customHeight="1" thickBot="1">
      <c r="A10" s="20"/>
      <c r="C10" s="13">
        <f>SUM(C8:C9)</f>
        <v>64517</v>
      </c>
      <c r="D10" s="14"/>
      <c r="E10" s="13">
        <f>SUM(E8:E9)</f>
        <v>1538497346003</v>
      </c>
      <c r="F10" s="14"/>
      <c r="G10" s="13">
        <f>SUM(G8:G9)</f>
        <v>880649152153</v>
      </c>
      <c r="H10" s="14"/>
      <c r="I10" s="13">
        <f>SUM(I8:I9)</f>
        <v>657848193850</v>
      </c>
      <c r="J10" s="14"/>
      <c r="K10" s="13">
        <f>SUM(K8:K9)</f>
        <v>421748</v>
      </c>
      <c r="L10" s="14"/>
      <c r="M10" s="13">
        <f>SUM(M8:M9)</f>
        <v>7686752896259</v>
      </c>
      <c r="N10" s="14"/>
      <c r="O10" s="13">
        <f>SUM(O8:O9)</f>
        <v>5813056086287</v>
      </c>
      <c r="P10" s="14"/>
      <c r="Q10" s="13">
        <f>SUM(Q8:Q9)</f>
        <v>1873696809972</v>
      </c>
    </row>
    <row r="11" spans="1:19" ht="13.5" thickTop="1">
      <c r="I11" s="23"/>
      <c r="Q11" s="53"/>
    </row>
    <row r="12" spans="1:19">
      <c r="I12" s="23"/>
      <c r="Q12" s="23"/>
    </row>
    <row r="13" spans="1:19">
      <c r="Q13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22"/>
  <sheetViews>
    <sheetView rightToLeft="1" view="pageBreakPreview" zoomScale="96" zoomScaleNormal="100" zoomScaleSheetLayoutView="96" workbookViewId="0">
      <selection activeCell="N12" sqref="N12"/>
    </sheetView>
  </sheetViews>
  <sheetFormatPr defaultRowHeight="12.75"/>
  <cols>
    <col min="1" max="1" width="98.85546875" style="39" bestFit="1" customWidth="1"/>
    <col min="2" max="2" width="1.28515625" style="39" customWidth="1"/>
    <col min="3" max="3" width="11" style="39" bestFit="1" customWidth="1"/>
    <col min="4" max="4" width="1.28515625" style="39" customWidth="1"/>
    <col min="5" max="5" width="10.42578125" style="39" customWidth="1"/>
    <col min="6" max="6" width="16.140625" style="39" customWidth="1"/>
    <col min="7" max="7" width="1.28515625" style="39" customWidth="1"/>
    <col min="8" max="8" width="15.42578125" style="39" customWidth="1"/>
    <col min="9" max="9" width="1.28515625" style="39" customWidth="1"/>
    <col min="10" max="10" width="15.5703125" style="39" customWidth="1"/>
    <col min="11" max="11" width="1.28515625" style="39" customWidth="1"/>
    <col min="12" max="12" width="15.5703125" style="39" customWidth="1"/>
    <col min="13" max="16384" width="9.140625" style="39"/>
  </cols>
  <sheetData>
    <row r="1" spans="1:12" ht="25.5">
      <c r="A1" s="82" t="str">
        <f>سهام!A1</f>
        <v>صندوق سرمایه گذاری کالایی درفش دماوند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5.5">
      <c r="A2" s="82" t="s">
        <v>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25.5">
      <c r="A3" s="82" t="str">
        <f>سهام!A3</f>
        <v>برای ماه منتهی به 1404/11/30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7.35" customHeight="1"/>
    <row r="5" spans="1:12" ht="24">
      <c r="A5" s="83" t="s">
        <v>61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ht="7.35" customHeight="1"/>
    <row r="7" spans="1:12" ht="14.45" customHeight="1">
      <c r="C7" s="84" t="s">
        <v>44</v>
      </c>
      <c r="D7" s="84"/>
      <c r="E7" s="84"/>
      <c r="F7" s="84"/>
      <c r="G7" s="84"/>
      <c r="H7" s="84"/>
      <c r="I7" s="84"/>
      <c r="J7" s="84"/>
      <c r="L7" s="42" t="s">
        <v>45</v>
      </c>
    </row>
    <row r="8" spans="1:12" ht="21">
      <c r="A8" s="42" t="s">
        <v>62</v>
      </c>
      <c r="C8" s="40" t="s">
        <v>19</v>
      </c>
      <c r="D8" s="41"/>
      <c r="E8" s="40" t="s">
        <v>4</v>
      </c>
      <c r="F8" s="40" t="s">
        <v>63</v>
      </c>
      <c r="G8" s="41"/>
      <c r="H8" s="40" t="s">
        <v>64</v>
      </c>
      <c r="I8" s="41"/>
      <c r="J8" s="40" t="s">
        <v>65</v>
      </c>
      <c r="L8" s="40" t="s">
        <v>65</v>
      </c>
    </row>
    <row r="9" spans="1:12" ht="18.75">
      <c r="A9" s="6" t="s">
        <v>73</v>
      </c>
      <c r="C9" s="43" t="s">
        <v>80</v>
      </c>
      <c r="E9" s="44">
        <v>0</v>
      </c>
      <c r="F9" s="44">
        <v>0</v>
      </c>
      <c r="G9" s="44"/>
      <c r="H9" s="44">
        <v>0</v>
      </c>
      <c r="I9" s="44"/>
      <c r="J9" s="44">
        <v>0</v>
      </c>
      <c r="K9" s="44"/>
      <c r="L9" s="44">
        <v>2323243497</v>
      </c>
    </row>
    <row r="10" spans="1:12" ht="18.75">
      <c r="A10" s="6" t="s">
        <v>74</v>
      </c>
      <c r="C10" s="43" t="s">
        <v>80</v>
      </c>
      <c r="E10" s="44">
        <v>0</v>
      </c>
      <c r="F10" s="44">
        <v>0</v>
      </c>
      <c r="G10" s="44"/>
      <c r="H10" s="44">
        <v>0</v>
      </c>
      <c r="I10" s="44"/>
      <c r="J10" s="44">
        <v>0</v>
      </c>
      <c r="K10" s="44"/>
      <c r="L10" s="44">
        <v>950536282</v>
      </c>
    </row>
    <row r="11" spans="1:12" ht="18.75">
      <c r="A11" s="6" t="s">
        <v>75</v>
      </c>
      <c r="C11" s="43" t="s">
        <v>80</v>
      </c>
      <c r="E11" s="44">
        <v>0</v>
      </c>
      <c r="F11" s="44">
        <v>0</v>
      </c>
      <c r="G11" s="44"/>
      <c r="H11" s="44">
        <v>0</v>
      </c>
      <c r="I11" s="44"/>
      <c r="J11" s="44">
        <v>0</v>
      </c>
      <c r="K11" s="44"/>
      <c r="L11" s="44">
        <v>11623371119</v>
      </c>
    </row>
    <row r="12" spans="1:12" ht="18.75">
      <c r="A12" s="6" t="s">
        <v>76</v>
      </c>
      <c r="C12" s="43" t="s">
        <v>80</v>
      </c>
      <c r="E12" s="44">
        <v>0</v>
      </c>
      <c r="F12" s="44">
        <v>0</v>
      </c>
      <c r="G12" s="44"/>
      <c r="H12" s="44">
        <v>0</v>
      </c>
      <c r="I12" s="44"/>
      <c r="J12" s="44">
        <v>0</v>
      </c>
      <c r="K12" s="44"/>
      <c r="L12" s="44">
        <v>9403317173</v>
      </c>
    </row>
    <row r="13" spans="1:12" ht="18.75">
      <c r="A13" s="6" t="s">
        <v>77</v>
      </c>
      <c r="C13" s="43" t="s">
        <v>80</v>
      </c>
      <c r="E13" s="44">
        <v>0</v>
      </c>
      <c r="F13" s="44">
        <v>0</v>
      </c>
      <c r="G13" s="44"/>
      <c r="H13" s="44">
        <v>0</v>
      </c>
      <c r="I13" s="44"/>
      <c r="J13" s="44">
        <v>0</v>
      </c>
      <c r="K13" s="44"/>
      <c r="L13" s="44">
        <v>3737822385</v>
      </c>
    </row>
    <row r="14" spans="1:12" ht="18.75">
      <c r="A14" s="6" t="s">
        <v>78</v>
      </c>
      <c r="C14" s="43" t="s">
        <v>80</v>
      </c>
      <c r="E14" s="44">
        <v>0</v>
      </c>
      <c r="F14" s="44">
        <v>0</v>
      </c>
      <c r="G14" s="44"/>
      <c r="H14" s="44">
        <v>0</v>
      </c>
      <c r="I14" s="44"/>
      <c r="J14" s="44">
        <v>0</v>
      </c>
      <c r="K14" s="44"/>
      <c r="L14" s="44">
        <v>993815288</v>
      </c>
    </row>
    <row r="15" spans="1:12" ht="18.75">
      <c r="A15" s="6" t="s">
        <v>79</v>
      </c>
      <c r="C15" s="43" t="s">
        <v>80</v>
      </c>
      <c r="E15" s="44">
        <v>0</v>
      </c>
      <c r="F15" s="44">
        <v>0</v>
      </c>
      <c r="G15" s="44"/>
      <c r="H15" s="44">
        <v>0</v>
      </c>
      <c r="I15" s="44"/>
      <c r="J15" s="44">
        <v>0</v>
      </c>
      <c r="K15" s="44"/>
      <c r="L15" s="44">
        <v>824652506</v>
      </c>
    </row>
    <row r="16" spans="1:12" ht="18.75">
      <c r="A16" s="6" t="s">
        <v>10</v>
      </c>
      <c r="C16" s="43" t="s">
        <v>94</v>
      </c>
      <c r="E16" s="85">
        <v>1015</v>
      </c>
      <c r="F16" s="85">
        <v>10642275</v>
      </c>
      <c r="G16" s="85"/>
      <c r="H16" s="85">
        <v>0</v>
      </c>
      <c r="I16" s="85"/>
      <c r="J16" s="85">
        <v>7851327396</v>
      </c>
      <c r="K16" s="85"/>
      <c r="L16" s="85">
        <v>7851327396</v>
      </c>
    </row>
    <row r="17" spans="1:12" ht="18.75">
      <c r="A17" s="6" t="s">
        <v>11</v>
      </c>
      <c r="C17" s="43" t="s">
        <v>94</v>
      </c>
      <c r="E17" s="85">
        <v>2016</v>
      </c>
      <c r="F17" s="85">
        <v>20230560</v>
      </c>
      <c r="G17" s="85"/>
      <c r="H17" s="85">
        <v>0</v>
      </c>
      <c r="I17" s="85"/>
      <c r="J17" s="85">
        <v>13506334256</v>
      </c>
      <c r="K17" s="85"/>
      <c r="L17" s="85">
        <v>13506334256</v>
      </c>
    </row>
    <row r="18" spans="1:12" ht="18.75">
      <c r="A18" s="6" t="s">
        <v>12</v>
      </c>
      <c r="C18" s="43" t="s">
        <v>94</v>
      </c>
      <c r="E18" s="85">
        <v>1510</v>
      </c>
      <c r="F18" s="85">
        <v>18550350</v>
      </c>
      <c r="G18" s="85"/>
      <c r="H18" s="85">
        <v>0</v>
      </c>
      <c r="I18" s="85"/>
      <c r="J18" s="85">
        <v>12192942597</v>
      </c>
      <c r="K18" s="85"/>
      <c r="L18" s="85">
        <v>12192942597</v>
      </c>
    </row>
    <row r="19" spans="1:12" ht="18.75">
      <c r="A19" s="6" t="s">
        <v>13</v>
      </c>
      <c r="C19" s="43" t="s">
        <v>94</v>
      </c>
      <c r="E19" s="85">
        <v>3015</v>
      </c>
      <c r="F19" s="85">
        <v>34325775</v>
      </c>
      <c r="G19" s="85"/>
      <c r="H19" s="85">
        <v>0</v>
      </c>
      <c r="I19" s="85"/>
      <c r="J19" s="85">
        <v>21986883549</v>
      </c>
      <c r="K19" s="85"/>
      <c r="L19" s="85">
        <v>21986883549</v>
      </c>
    </row>
    <row r="20" spans="1:12" ht="18.75">
      <c r="A20" s="6" t="s">
        <v>14</v>
      </c>
      <c r="C20" s="43" t="s">
        <v>94</v>
      </c>
      <c r="E20" s="85">
        <v>1015</v>
      </c>
      <c r="F20" s="85">
        <v>11099025</v>
      </c>
      <c r="G20" s="85"/>
      <c r="H20" s="85">
        <v>0</v>
      </c>
      <c r="I20" s="85"/>
      <c r="J20" s="85">
        <v>7953236119</v>
      </c>
      <c r="K20" s="85"/>
      <c r="L20" s="85">
        <v>7953236119</v>
      </c>
    </row>
    <row r="21" spans="1:12" ht="19.5" thickBot="1">
      <c r="E21" s="45">
        <f>SUM(E9:E20)</f>
        <v>8571</v>
      </c>
      <c r="F21" s="45">
        <f>SUM(F9:F20)</f>
        <v>94847985</v>
      </c>
      <c r="G21" s="44"/>
      <c r="H21" s="45">
        <f>SUM(H9:H20)</f>
        <v>0</v>
      </c>
      <c r="I21" s="44"/>
      <c r="J21" s="45">
        <f>SUM(J9:J20)</f>
        <v>63490723917</v>
      </c>
      <c r="K21" s="44"/>
      <c r="L21" s="45">
        <f>SUM(L9:L20)</f>
        <v>93347482167</v>
      </c>
    </row>
    <row r="22" spans="1:12" ht="13.5" thickTop="1"/>
  </sheetData>
  <mergeCells count="5">
    <mergeCell ref="C7:J7"/>
    <mergeCell ref="A1:L1"/>
    <mergeCell ref="A2:L2"/>
    <mergeCell ref="A3:L3"/>
    <mergeCell ref="A5:L5"/>
  </mergeCells>
  <phoneticPr fontId="8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17"/>
  <sheetViews>
    <sheetView rightToLeft="1" view="pageBreakPreview" zoomScaleNormal="100" zoomScaleSheetLayoutView="100" workbookViewId="0">
      <selection activeCell="Q8" sqref="Q8"/>
    </sheetView>
  </sheetViews>
  <sheetFormatPr defaultRowHeight="12.75"/>
  <cols>
    <col min="1" max="1" width="81.28515625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0.28515625" customWidth="1"/>
    <col min="19" max="19" width="13.85546875" bestFit="1" customWidth="1"/>
  </cols>
  <sheetData>
    <row r="1" spans="1:1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9" ht="21.75" customHeight="1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9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9" ht="14.45" customHeight="1"/>
    <row r="5" spans="1:19" ht="14.45" customHeight="1">
      <c r="A5" s="69" t="s">
        <v>66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9" ht="14.45" customHeight="1">
      <c r="A6" s="68" t="s">
        <v>36</v>
      </c>
      <c r="C6" s="68" t="s">
        <v>44</v>
      </c>
      <c r="D6" s="68"/>
      <c r="E6" s="68"/>
      <c r="F6" s="68"/>
      <c r="G6" s="68"/>
      <c r="H6" s="68"/>
      <c r="I6" s="68"/>
      <c r="K6" s="68" t="s">
        <v>45</v>
      </c>
      <c r="L6" s="68"/>
      <c r="M6" s="68"/>
      <c r="N6" s="68"/>
      <c r="O6" s="68"/>
      <c r="P6" s="68"/>
      <c r="Q6" s="68"/>
    </row>
    <row r="7" spans="1:19" ht="29.1" customHeight="1">
      <c r="A7" s="68"/>
      <c r="C7" s="7" t="s">
        <v>4</v>
      </c>
      <c r="D7" s="3"/>
      <c r="E7" s="7" t="s">
        <v>6</v>
      </c>
      <c r="F7" s="3"/>
      <c r="G7" s="7" t="s">
        <v>59</v>
      </c>
      <c r="H7" s="3"/>
      <c r="I7" s="7" t="s">
        <v>67</v>
      </c>
      <c r="K7" s="7" t="s">
        <v>4</v>
      </c>
      <c r="L7" s="3"/>
      <c r="M7" s="7" t="s">
        <v>6</v>
      </c>
      <c r="N7" s="3"/>
      <c r="O7" s="7" t="s">
        <v>59</v>
      </c>
      <c r="P7" s="3"/>
      <c r="Q7" s="7" t="s">
        <v>67</v>
      </c>
    </row>
    <row r="8" spans="1:19" ht="21.75" customHeight="1">
      <c r="A8" s="5" t="s">
        <v>15</v>
      </c>
      <c r="C8" s="11">
        <v>1009900</v>
      </c>
      <c r="D8" s="14"/>
      <c r="E8" s="11">
        <v>25185676878987</v>
      </c>
      <c r="F8" s="14"/>
      <c r="G8" s="11">
        <v>21242566488015</v>
      </c>
      <c r="H8" s="14"/>
      <c r="I8" s="12">
        <f>E8-G8</f>
        <v>3943110390972</v>
      </c>
      <c r="J8" s="14"/>
      <c r="K8" s="11">
        <v>1009900</v>
      </c>
      <c r="L8" s="14"/>
      <c r="M8" s="11">
        <v>25185676878987</v>
      </c>
      <c r="N8" s="14"/>
      <c r="O8" s="11">
        <v>14301841269236</v>
      </c>
      <c r="P8" s="14"/>
      <c r="Q8" s="12">
        <f>M8-O8</f>
        <v>10883835609751</v>
      </c>
      <c r="S8" s="23"/>
    </row>
    <row r="9" spans="1:19" ht="21.75" customHeight="1">
      <c r="A9" s="6" t="s">
        <v>10</v>
      </c>
      <c r="C9" s="12">
        <v>1015</v>
      </c>
      <c r="D9" s="14"/>
      <c r="E9" s="12">
        <v>11814107725</v>
      </c>
      <c r="F9" s="14"/>
      <c r="G9" s="12">
        <v>19052694197</v>
      </c>
      <c r="H9" s="14"/>
      <c r="I9" s="12">
        <f t="shared" ref="I9:I13" si="0">E9-G9</f>
        <v>-7238586472</v>
      </c>
      <c r="J9" s="14"/>
      <c r="K9" s="12">
        <v>0</v>
      </c>
      <c r="L9" s="14"/>
      <c r="M9" s="12">
        <v>0</v>
      </c>
      <c r="N9" s="14"/>
      <c r="O9" s="12">
        <v>0</v>
      </c>
      <c r="P9" s="14"/>
      <c r="Q9" s="12">
        <v>0</v>
      </c>
      <c r="S9" s="23"/>
    </row>
    <row r="10" spans="1:19" ht="21.75" customHeight="1">
      <c r="A10" s="6" t="s">
        <v>11</v>
      </c>
      <c r="C10" s="12">
        <v>2016</v>
      </c>
      <c r="D10" s="14"/>
      <c r="E10" s="12">
        <v>22458169440</v>
      </c>
      <c r="F10" s="14"/>
      <c r="G10" s="12">
        <v>35917923559</v>
      </c>
      <c r="H10" s="14"/>
      <c r="I10" s="12">
        <f t="shared" si="0"/>
        <v>-13459754119</v>
      </c>
      <c r="J10" s="14"/>
      <c r="K10" s="12">
        <v>0</v>
      </c>
      <c r="L10" s="14"/>
      <c r="M10" s="12">
        <v>0</v>
      </c>
      <c r="N10" s="14"/>
      <c r="O10" s="12">
        <v>0</v>
      </c>
      <c r="P10" s="14"/>
      <c r="Q10" s="12">
        <v>0</v>
      </c>
      <c r="S10" s="23"/>
    </row>
    <row r="11" spans="1:19" ht="21.75" customHeight="1">
      <c r="A11" s="6" t="s">
        <v>12</v>
      </c>
      <c r="C11" s="12">
        <v>1510</v>
      </c>
      <c r="D11" s="14"/>
      <c r="E11" s="12">
        <v>20592949650</v>
      </c>
      <c r="F11" s="14"/>
      <c r="G11" s="12">
        <v>31032404747</v>
      </c>
      <c r="H11" s="14"/>
      <c r="I11" s="12">
        <f t="shared" si="0"/>
        <v>-10439455097</v>
      </c>
      <c r="J11" s="14"/>
      <c r="K11" s="12">
        <v>0</v>
      </c>
      <c r="L11" s="14"/>
      <c r="M11" s="12">
        <v>0</v>
      </c>
      <c r="N11" s="14"/>
      <c r="O11" s="12">
        <v>0</v>
      </c>
      <c r="P11" s="14"/>
      <c r="Q11" s="12">
        <v>0</v>
      </c>
      <c r="S11" s="23"/>
    </row>
    <row r="12" spans="1:19" ht="21.75" customHeight="1">
      <c r="A12" s="6" t="s">
        <v>13</v>
      </c>
      <c r="C12" s="12">
        <v>3015</v>
      </c>
      <c r="D12" s="14"/>
      <c r="E12" s="12">
        <v>38105424225</v>
      </c>
      <c r="F12" s="14"/>
      <c r="G12" s="12">
        <v>59845109736</v>
      </c>
      <c r="H12" s="14"/>
      <c r="I12" s="12">
        <f t="shared" si="0"/>
        <v>-21739685511</v>
      </c>
      <c r="J12" s="14"/>
      <c r="K12" s="12">
        <v>0</v>
      </c>
      <c r="L12" s="14"/>
      <c r="M12" s="12">
        <v>0</v>
      </c>
      <c r="N12" s="14"/>
      <c r="O12" s="12">
        <v>0</v>
      </c>
      <c r="P12" s="14"/>
      <c r="Q12" s="12">
        <v>0</v>
      </c>
      <c r="S12" s="23"/>
    </row>
    <row r="13" spans="1:19" ht="21.75" customHeight="1">
      <c r="A13" s="6" t="s">
        <v>14</v>
      </c>
      <c r="C13" s="17">
        <v>1015</v>
      </c>
      <c r="D13" s="14"/>
      <c r="E13" s="17">
        <v>12321150975</v>
      </c>
      <c r="F13" s="14"/>
      <c r="G13" s="17">
        <v>20209669259</v>
      </c>
      <c r="H13" s="14"/>
      <c r="I13" s="12">
        <f t="shared" si="0"/>
        <v>-7888518284</v>
      </c>
      <c r="J13" s="14"/>
      <c r="K13" s="17">
        <v>0</v>
      </c>
      <c r="L13" s="14"/>
      <c r="M13" s="17">
        <v>0</v>
      </c>
      <c r="N13" s="14"/>
      <c r="O13" s="17">
        <v>0</v>
      </c>
      <c r="P13" s="14"/>
      <c r="Q13" s="12">
        <v>0</v>
      </c>
      <c r="S13" s="23"/>
    </row>
    <row r="14" spans="1:19" ht="21.75" customHeight="1" thickBot="1">
      <c r="A14" s="20"/>
      <c r="C14" s="13">
        <f>SUM(C8:C13)</f>
        <v>1018471</v>
      </c>
      <c r="D14" s="14"/>
      <c r="E14" s="13">
        <f>SUM(E8:E13)</f>
        <v>25290968681002</v>
      </c>
      <c r="F14" s="14"/>
      <c r="G14" s="13">
        <f>SUM(G8:G13)</f>
        <v>21408624289513</v>
      </c>
      <c r="H14" s="14"/>
      <c r="I14" s="13">
        <f>SUM(I8:I13)</f>
        <v>3882344391489</v>
      </c>
      <c r="J14" s="14"/>
      <c r="K14" s="13">
        <f>SUM(K8:K13)</f>
        <v>1009900</v>
      </c>
      <c r="L14" s="14"/>
      <c r="M14" s="13">
        <f>SUM(M8:M13)</f>
        <v>25185676878987</v>
      </c>
      <c r="N14" s="14"/>
      <c r="O14" s="13">
        <f>SUM(O8:O13)</f>
        <v>14301841269236</v>
      </c>
      <c r="P14" s="14"/>
      <c r="Q14" s="13">
        <f>SUM(Q8:Q13)</f>
        <v>10883835609751</v>
      </c>
    </row>
    <row r="15" spans="1:19" ht="13.5" thickTop="1"/>
    <row r="16" spans="1:19" ht="18.75">
      <c r="I16" s="23"/>
      <c r="Q16" s="12"/>
    </row>
    <row r="17" spans="9:17" ht="18.75">
      <c r="I17" s="23"/>
      <c r="Q17" s="1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C20"/>
  <sheetViews>
    <sheetView rightToLeft="1" tabSelected="1" view="pageBreakPreview" zoomScale="80" zoomScaleNormal="100" zoomScaleSheetLayoutView="80" workbookViewId="0">
      <selection activeCell="F28" sqref="F28"/>
    </sheetView>
  </sheetViews>
  <sheetFormatPr defaultRowHeight="12.75"/>
  <cols>
    <col min="1" max="1" width="81.28515625" bestFit="1" customWidth="1"/>
    <col min="2" max="2" width="2.42578125" customWidth="1"/>
    <col min="3" max="3" width="10.5703125" bestFit="1" customWidth="1"/>
    <col min="4" max="4" width="1.28515625" customWidth="1"/>
    <col min="5" max="5" width="19.42578125" bestFit="1" customWidth="1"/>
    <col min="6" max="6" width="1.28515625" customWidth="1"/>
    <col min="7" max="7" width="19.7109375" bestFit="1" customWidth="1"/>
    <col min="8" max="8" width="1.28515625" customWidth="1"/>
    <col min="9" max="9" width="7.7109375" bestFit="1" customWidth="1"/>
    <col min="10" max="10" width="1.28515625" customWidth="1"/>
    <col min="11" max="11" width="18.28515625" bestFit="1" customWidth="1"/>
    <col min="12" max="12" width="1.28515625" customWidth="1"/>
    <col min="13" max="13" width="9.7109375" bestFit="1" customWidth="1"/>
    <col min="14" max="14" width="1.28515625" customWidth="1"/>
    <col min="15" max="15" width="18.140625" bestFit="1" customWidth="1"/>
    <col min="16" max="16" width="1.28515625" customWidth="1"/>
    <col min="17" max="17" width="10.5703125" bestFit="1" customWidth="1"/>
    <col min="18" max="18" width="1.28515625" customWidth="1"/>
    <col min="19" max="19" width="16.28515625" bestFit="1" customWidth="1"/>
    <col min="20" max="20" width="1.28515625" customWidth="1"/>
    <col min="21" max="21" width="19.42578125" bestFit="1" customWidth="1"/>
    <col min="22" max="22" width="1.28515625" customWidth="1"/>
    <col min="23" max="23" width="22.42578125" bestFit="1" customWidth="1"/>
    <col min="24" max="24" width="1.28515625" customWidth="1"/>
    <col min="25" max="25" width="18.28515625" bestFit="1" customWidth="1"/>
    <col min="26" max="26" width="0.2851562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9" ht="29.1" customHeight="1">
      <c r="A1" s="67" t="s">
        <v>89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9" ht="21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9" ht="21.75" customHeight="1">
      <c r="A3" s="67" t="s">
        <v>93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1:29" ht="14.45" customHeight="1">
      <c r="A4" s="66" t="s">
        <v>68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:29" ht="14.45" customHeight="1">
      <c r="A5" s="66" t="s">
        <v>69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9" ht="14.45" customHeight="1">
      <c r="C6" s="68" t="s">
        <v>90</v>
      </c>
      <c r="D6" s="68"/>
      <c r="E6" s="68"/>
      <c r="F6" s="68"/>
      <c r="G6" s="68"/>
      <c r="I6" s="68" t="s">
        <v>1</v>
      </c>
      <c r="J6" s="68"/>
      <c r="K6" s="68"/>
      <c r="L6" s="68"/>
      <c r="M6" s="68"/>
      <c r="N6" s="68"/>
      <c r="O6" s="68"/>
      <c r="Q6" s="68" t="s">
        <v>92</v>
      </c>
      <c r="R6" s="68"/>
      <c r="S6" s="68"/>
      <c r="T6" s="68"/>
      <c r="U6" s="68"/>
      <c r="V6" s="68"/>
      <c r="W6" s="68"/>
      <c r="X6" s="68"/>
      <c r="Y6" s="68"/>
    </row>
    <row r="7" spans="1:29" ht="14.45" customHeight="1">
      <c r="C7" s="3"/>
      <c r="D7" s="3"/>
      <c r="E7" s="3"/>
      <c r="F7" s="3"/>
      <c r="G7" s="3"/>
      <c r="I7" s="65" t="s">
        <v>2</v>
      </c>
      <c r="J7" s="65"/>
      <c r="K7" s="65"/>
      <c r="L7" s="3"/>
      <c r="M7" s="65" t="s">
        <v>3</v>
      </c>
      <c r="N7" s="65"/>
      <c r="O7" s="65"/>
      <c r="Q7" s="3"/>
      <c r="R7" s="3"/>
      <c r="S7" s="3"/>
      <c r="T7" s="3"/>
      <c r="U7" s="3"/>
      <c r="V7" s="3"/>
      <c r="W7" s="3"/>
      <c r="X7" s="3"/>
      <c r="Y7" s="3"/>
    </row>
    <row r="8" spans="1:29" ht="14.45" customHeight="1">
      <c r="A8" s="2"/>
      <c r="C8" s="10" t="s">
        <v>4</v>
      </c>
      <c r="E8" s="2" t="s">
        <v>5</v>
      </c>
      <c r="G8" s="2" t="s">
        <v>6</v>
      </c>
      <c r="I8" s="4" t="s">
        <v>4</v>
      </c>
      <c r="J8" s="3"/>
      <c r="K8" s="4" t="s">
        <v>5</v>
      </c>
      <c r="M8" s="4" t="s">
        <v>4</v>
      </c>
      <c r="N8" s="3"/>
      <c r="O8" s="4" t="s">
        <v>7</v>
      </c>
      <c r="Q8" s="2" t="s">
        <v>4</v>
      </c>
      <c r="S8" s="2" t="s">
        <v>8</v>
      </c>
      <c r="U8" s="2" t="s">
        <v>5</v>
      </c>
      <c r="W8" s="2" t="s">
        <v>6</v>
      </c>
      <c r="Y8" s="2" t="s">
        <v>9</v>
      </c>
    </row>
    <row r="9" spans="1:29" ht="21.75" customHeight="1">
      <c r="A9" s="9" t="s">
        <v>10</v>
      </c>
      <c r="C9" s="24">
        <v>1015</v>
      </c>
      <c r="D9" s="25"/>
      <c r="E9" s="24">
        <v>3890171604</v>
      </c>
      <c r="F9" s="25"/>
      <c r="G9" s="24">
        <v>11212009076.922501</v>
      </c>
      <c r="H9" s="25"/>
      <c r="I9" s="24">
        <v>0</v>
      </c>
      <c r="J9" s="25"/>
      <c r="K9" s="24">
        <v>0</v>
      </c>
      <c r="L9" s="25"/>
      <c r="M9" s="24">
        <v>1015</v>
      </c>
      <c r="N9" s="25"/>
      <c r="O9" s="24">
        <v>11814107725</v>
      </c>
      <c r="P9" s="25"/>
      <c r="Q9" s="11">
        <v>0</v>
      </c>
      <c r="R9" s="14"/>
      <c r="S9" s="11">
        <v>0</v>
      </c>
      <c r="T9" s="14"/>
      <c r="U9" s="11">
        <v>0</v>
      </c>
      <c r="V9" s="14"/>
      <c r="W9" s="11">
        <v>0</v>
      </c>
      <c r="X9" s="14"/>
      <c r="Y9" s="16">
        <f>W9/20463599941569*100</f>
        <v>0</v>
      </c>
      <c r="AA9" s="23"/>
      <c r="AB9" s="23"/>
      <c r="AC9" s="62"/>
    </row>
    <row r="10" spans="1:29" ht="21.75" customHeight="1">
      <c r="A10" s="8" t="s">
        <v>11</v>
      </c>
      <c r="C10" s="26">
        <v>2016</v>
      </c>
      <c r="D10" s="25"/>
      <c r="E10" s="26">
        <v>8779149344</v>
      </c>
      <c r="F10" s="25"/>
      <c r="G10" s="26">
        <v>22431819863.980801</v>
      </c>
      <c r="H10" s="25"/>
      <c r="I10" s="26">
        <v>0</v>
      </c>
      <c r="J10" s="25"/>
      <c r="K10" s="26">
        <v>0</v>
      </c>
      <c r="L10" s="25"/>
      <c r="M10" s="26">
        <v>2016</v>
      </c>
      <c r="N10" s="25"/>
      <c r="O10" s="26">
        <v>22458169440</v>
      </c>
      <c r="P10" s="25"/>
      <c r="Q10" s="12">
        <v>0</v>
      </c>
      <c r="R10" s="14"/>
      <c r="S10" s="12">
        <v>0</v>
      </c>
      <c r="T10" s="14"/>
      <c r="U10" s="12">
        <v>0</v>
      </c>
      <c r="V10" s="14"/>
      <c r="W10" s="12">
        <v>0</v>
      </c>
      <c r="X10" s="14"/>
      <c r="Y10" s="16">
        <f t="shared" ref="Y10:Y14" si="0">W10/20463599941569*100</f>
        <v>0</v>
      </c>
      <c r="AA10" s="23"/>
      <c r="AC10" s="62"/>
    </row>
    <row r="11" spans="1:29" ht="21.75" customHeight="1">
      <c r="A11" s="8" t="s">
        <v>12</v>
      </c>
      <c r="C11" s="26">
        <v>1510</v>
      </c>
      <c r="D11" s="25"/>
      <c r="E11" s="26">
        <v>7653178803</v>
      </c>
      <c r="F11" s="25"/>
      <c r="G11" s="26">
        <v>18858012500</v>
      </c>
      <c r="H11" s="25"/>
      <c r="I11" s="26">
        <v>0</v>
      </c>
      <c r="J11" s="25"/>
      <c r="K11" s="26">
        <v>0</v>
      </c>
      <c r="L11" s="25"/>
      <c r="M11" s="26">
        <v>1510</v>
      </c>
      <c r="N11" s="25"/>
      <c r="O11" s="26">
        <v>20592949650</v>
      </c>
      <c r="P11" s="25"/>
      <c r="Q11" s="12">
        <v>0</v>
      </c>
      <c r="R11" s="14"/>
      <c r="S11" s="12">
        <v>0</v>
      </c>
      <c r="T11" s="14"/>
      <c r="U11" s="12">
        <v>0</v>
      </c>
      <c r="V11" s="14"/>
      <c r="W11" s="12">
        <v>0</v>
      </c>
      <c r="X11" s="14"/>
      <c r="Y11" s="16">
        <f t="shared" si="0"/>
        <v>0</v>
      </c>
      <c r="AA11" s="23"/>
      <c r="AB11" s="23"/>
      <c r="AC11" s="62"/>
    </row>
    <row r="12" spans="1:29" ht="21.75" customHeight="1">
      <c r="A12" s="8" t="s">
        <v>13</v>
      </c>
      <c r="C12" s="26">
        <v>3015</v>
      </c>
      <c r="D12" s="25"/>
      <c r="E12" s="26">
        <v>15440051851</v>
      </c>
      <c r="F12" s="25"/>
      <c r="G12" s="26">
        <v>37892551962.617996</v>
      </c>
      <c r="H12" s="25"/>
      <c r="I12" s="26">
        <v>0</v>
      </c>
      <c r="J12" s="25"/>
      <c r="K12" s="26">
        <v>0</v>
      </c>
      <c r="L12" s="25"/>
      <c r="M12" s="26">
        <v>3015</v>
      </c>
      <c r="N12" s="25"/>
      <c r="O12" s="26">
        <v>38105424225</v>
      </c>
      <c r="P12" s="25"/>
      <c r="Q12" s="12">
        <v>0</v>
      </c>
      <c r="R12" s="14"/>
      <c r="S12" s="12">
        <v>0</v>
      </c>
      <c r="T12" s="14"/>
      <c r="U12" s="12">
        <v>0</v>
      </c>
      <c r="V12" s="14"/>
      <c r="W12" s="12">
        <v>0</v>
      </c>
      <c r="X12" s="14"/>
      <c r="Y12" s="16">
        <f t="shared" si="0"/>
        <v>0</v>
      </c>
      <c r="AA12" s="23"/>
      <c r="AB12" s="23"/>
      <c r="AC12" s="62"/>
    </row>
    <row r="13" spans="1:29" ht="21.75" customHeight="1">
      <c r="A13" s="8" t="s">
        <v>14</v>
      </c>
      <c r="C13" s="26">
        <v>1015</v>
      </c>
      <c r="D13" s="25"/>
      <c r="E13" s="26">
        <v>4236650881</v>
      </c>
      <c r="F13" s="25"/>
      <c r="G13" s="26">
        <v>12267532165.399</v>
      </c>
      <c r="H13" s="25"/>
      <c r="I13" s="26">
        <v>0</v>
      </c>
      <c r="J13" s="25"/>
      <c r="K13" s="26">
        <v>0</v>
      </c>
      <c r="L13" s="25"/>
      <c r="M13" s="26">
        <v>1015</v>
      </c>
      <c r="N13" s="25"/>
      <c r="O13" s="26">
        <v>12321150975</v>
      </c>
      <c r="P13" s="25"/>
      <c r="Q13" s="12">
        <v>0</v>
      </c>
      <c r="R13" s="14"/>
      <c r="S13" s="12">
        <v>0</v>
      </c>
      <c r="T13" s="14"/>
      <c r="U13" s="12">
        <v>0</v>
      </c>
      <c r="V13" s="14"/>
      <c r="W13" s="12">
        <v>0</v>
      </c>
      <c r="X13" s="14"/>
      <c r="Y13" s="16">
        <f t="shared" si="0"/>
        <v>0</v>
      </c>
      <c r="AA13" s="23"/>
      <c r="AB13" s="23"/>
      <c r="AC13" s="62"/>
    </row>
    <row r="14" spans="1:29" ht="21.75" customHeight="1">
      <c r="A14" s="8" t="s">
        <v>15</v>
      </c>
      <c r="C14" s="26">
        <v>1000000</v>
      </c>
      <c r="D14" s="25"/>
      <c r="E14" s="27">
        <v>10290526962475</v>
      </c>
      <c r="F14" s="25"/>
      <c r="G14" s="27">
        <v>20351040000000</v>
      </c>
      <c r="H14" s="25"/>
      <c r="I14" s="27">
        <v>74417</v>
      </c>
      <c r="J14" s="25"/>
      <c r="K14" s="27">
        <v>1775876916625</v>
      </c>
      <c r="L14" s="25"/>
      <c r="M14" s="27">
        <v>-64517</v>
      </c>
      <c r="N14" s="25"/>
      <c r="O14" s="27">
        <v>1538497346003</v>
      </c>
      <c r="P14" s="25"/>
      <c r="Q14" s="17">
        <v>1009900</v>
      </c>
      <c r="R14" s="14"/>
      <c r="S14" s="17">
        <v>24998780</v>
      </c>
      <c r="T14" s="14"/>
      <c r="U14" s="17">
        <v>11376771999359</v>
      </c>
      <c r="V14" s="14"/>
      <c r="W14" s="17">
        <v>25185676878987.199</v>
      </c>
      <c r="X14" s="14"/>
      <c r="Y14" s="16">
        <f>W14/25196358750786*100</f>
        <v>99.957605494093599</v>
      </c>
      <c r="AA14" s="23"/>
      <c r="AB14" s="23"/>
    </row>
    <row r="15" spans="1:29" ht="21.75" customHeight="1" thickBot="1">
      <c r="A15" s="21"/>
      <c r="B15" s="22"/>
      <c r="C15" s="28">
        <f>SUM(C9:C14)</f>
        <v>1008571</v>
      </c>
      <c r="D15" s="25"/>
      <c r="E15" s="28">
        <f>SUM(E9:E14)</f>
        <v>10330526164958</v>
      </c>
      <c r="F15" s="25"/>
      <c r="G15" s="28">
        <f>SUM(G9:G14)</f>
        <v>20453701925568.922</v>
      </c>
      <c r="H15" s="25"/>
      <c r="I15" s="28">
        <f>SUM(I9:I14)</f>
        <v>74417</v>
      </c>
      <c r="J15" s="25"/>
      <c r="K15" s="28">
        <f>SUM(K9:K14)</f>
        <v>1775876916625</v>
      </c>
      <c r="L15" s="25"/>
      <c r="M15" s="28">
        <f>SUM(M9:M14)</f>
        <v>-55946</v>
      </c>
      <c r="N15" s="25"/>
      <c r="O15" s="28">
        <f>SUM(O9:O14)</f>
        <v>1643789148018</v>
      </c>
      <c r="P15" s="25"/>
      <c r="Q15" s="29">
        <f>SUM(Q9:Q14)</f>
        <v>1009900</v>
      </c>
      <c r="R15" s="25"/>
      <c r="S15" s="26"/>
      <c r="T15" s="25"/>
      <c r="U15" s="28">
        <f>SUM(U9:U14)</f>
        <v>11376771999359</v>
      </c>
      <c r="V15" s="25"/>
      <c r="W15" s="28">
        <f>SUM(W9:W14)</f>
        <v>25185676878987.199</v>
      </c>
      <c r="X15" s="14"/>
      <c r="Y15" s="18">
        <f>SUM(Y9:Y14)</f>
        <v>99.957605494093599</v>
      </c>
    </row>
    <row r="16" spans="1:29" ht="13.5" thickTop="1"/>
    <row r="17" spans="5:23">
      <c r="E17" s="53"/>
      <c r="G17" s="53"/>
      <c r="U17" s="23"/>
      <c r="W17" s="23"/>
    </row>
    <row r="18" spans="5:23">
      <c r="U18" s="23"/>
      <c r="W18" s="23"/>
    </row>
    <row r="19" spans="5:23">
      <c r="U19" s="23"/>
    </row>
    <row r="20" spans="5:23">
      <c r="U20" s="23"/>
      <c r="W20" s="61">
        <f>20453701925566-W15</f>
        <v>-4731974953421.1992</v>
      </c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4"/>
  <sheetViews>
    <sheetView rightToLeft="1" view="pageBreakPreview" zoomScaleNormal="100" zoomScaleSheetLayoutView="100" workbookViewId="0">
      <selection activeCell="AS16" sqref="AS16"/>
    </sheetView>
  </sheetViews>
  <sheetFormatPr defaultRowHeight="12.75"/>
  <cols>
    <col min="1" max="1" width="81.28515625" style="31" bestFit="1" customWidth="1"/>
    <col min="2" max="2" width="1.28515625" style="31" customWidth="1"/>
    <col min="3" max="3" width="9.42578125" style="31" bestFit="1" customWidth="1"/>
    <col min="4" max="4" width="1.28515625" style="31" customWidth="1"/>
    <col min="5" max="5" width="10.7109375" style="31" bestFit="1" customWidth="1"/>
    <col min="6" max="6" width="1.28515625" style="31" customWidth="1"/>
    <col min="7" max="7" width="6.42578125" style="31" customWidth="1"/>
    <col min="8" max="8" width="1.28515625" style="31" customWidth="1"/>
    <col min="9" max="9" width="5.140625" style="31" customWidth="1"/>
    <col min="10" max="10" width="1.28515625" style="31" customWidth="1"/>
    <col min="11" max="11" width="9.140625" style="31" customWidth="1"/>
    <col min="12" max="12" width="1.28515625" style="31" customWidth="1"/>
    <col min="13" max="13" width="2.5703125" style="31" customWidth="1"/>
    <col min="14" max="14" width="1.28515625" style="31" customWidth="1"/>
    <col min="15" max="15" width="9.140625" style="31" customWidth="1"/>
    <col min="16" max="16" width="1.28515625" style="31" customWidth="1"/>
    <col min="17" max="17" width="2.5703125" style="31" customWidth="1"/>
    <col min="18" max="20" width="1.28515625" style="31" customWidth="1"/>
    <col min="21" max="21" width="6.42578125" style="31" customWidth="1"/>
    <col min="22" max="22" width="1.28515625" style="31" customWidth="1"/>
    <col min="23" max="23" width="2.5703125" style="31" customWidth="1"/>
    <col min="24" max="26" width="1.28515625" style="31" customWidth="1"/>
    <col min="27" max="27" width="6.42578125" style="31" customWidth="1"/>
    <col min="28" max="28" width="1.28515625" style="31" customWidth="1"/>
    <col min="29" max="29" width="2.5703125" style="31" customWidth="1"/>
    <col min="30" max="32" width="1.28515625" style="31" customWidth="1"/>
    <col min="33" max="33" width="9.140625" style="31" customWidth="1"/>
    <col min="34" max="34" width="1.28515625" style="31" customWidth="1"/>
    <col min="35" max="35" width="2.5703125" style="31" customWidth="1"/>
    <col min="36" max="36" width="1.28515625" style="31" customWidth="1"/>
    <col min="37" max="37" width="9.140625" style="31" customWidth="1"/>
    <col min="38" max="38" width="1.28515625" style="31" customWidth="1"/>
    <col min="39" max="39" width="3.42578125" style="31" customWidth="1"/>
    <col min="40" max="40" width="1.28515625" style="31" customWidth="1"/>
    <col min="41" max="41" width="9.140625" style="31" customWidth="1"/>
    <col min="42" max="42" width="1.28515625" style="31" customWidth="1"/>
    <col min="43" max="43" width="2.5703125" style="31" customWidth="1"/>
    <col min="44" max="44" width="1.28515625" style="31" customWidth="1"/>
    <col min="45" max="45" width="11.7109375" style="31" customWidth="1"/>
    <col min="46" max="47" width="1.28515625" style="31" customWidth="1"/>
    <col min="48" max="48" width="10.42578125" style="31" bestFit="1" customWidth="1"/>
    <col min="49" max="49" width="7.7109375" style="31" customWidth="1"/>
    <col min="50" max="50" width="0.28515625" style="31" customWidth="1"/>
    <col min="51" max="16384" width="9.140625" style="31"/>
  </cols>
  <sheetData>
    <row r="1" spans="1:4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</row>
    <row r="2" spans="1:49" ht="21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1:49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</row>
    <row r="4" spans="1:49" ht="14.45" customHeight="1">
      <c r="A4" s="69" t="s">
        <v>20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</row>
    <row r="5" spans="1:49" ht="14.45" customHeight="1">
      <c r="C5" s="68" t="s">
        <v>90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Y5" s="68" t="s">
        <v>92</v>
      </c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49" ht="14.45" customHeight="1">
      <c r="A6" s="2" t="s">
        <v>17</v>
      </c>
      <c r="C6" s="4" t="s">
        <v>21</v>
      </c>
      <c r="D6" s="32"/>
      <c r="E6" s="4" t="s">
        <v>22</v>
      </c>
      <c r="F6" s="32"/>
      <c r="G6" s="65" t="s">
        <v>23</v>
      </c>
      <c r="H6" s="65"/>
      <c r="I6" s="65"/>
      <c r="J6" s="32"/>
      <c r="K6" s="65" t="s">
        <v>24</v>
      </c>
      <c r="L6" s="65"/>
      <c r="M6" s="65"/>
      <c r="N6" s="32"/>
      <c r="O6" s="65" t="s">
        <v>18</v>
      </c>
      <c r="P6" s="65"/>
      <c r="Q6" s="65"/>
      <c r="R6" s="32"/>
      <c r="S6" s="65" t="s">
        <v>19</v>
      </c>
      <c r="T6" s="65"/>
      <c r="U6" s="65"/>
      <c r="V6" s="65"/>
      <c r="W6" s="65"/>
      <c r="Y6" s="65" t="s">
        <v>21</v>
      </c>
      <c r="Z6" s="65"/>
      <c r="AA6" s="65"/>
      <c r="AB6" s="65"/>
      <c r="AC6" s="65"/>
      <c r="AD6" s="32"/>
      <c r="AE6" s="65" t="s">
        <v>22</v>
      </c>
      <c r="AF6" s="65"/>
      <c r="AG6" s="65"/>
      <c r="AH6" s="65"/>
      <c r="AI6" s="65"/>
      <c r="AJ6" s="32"/>
      <c r="AK6" s="65" t="s">
        <v>23</v>
      </c>
      <c r="AL6" s="65"/>
      <c r="AM6" s="65"/>
      <c r="AN6" s="32"/>
      <c r="AO6" s="65" t="s">
        <v>24</v>
      </c>
      <c r="AP6" s="65"/>
      <c r="AQ6" s="65"/>
      <c r="AR6" s="32"/>
      <c r="AS6" s="65" t="s">
        <v>18</v>
      </c>
      <c r="AT6" s="65"/>
      <c r="AU6" s="32"/>
      <c r="AV6" s="4" t="s">
        <v>19</v>
      </c>
    </row>
    <row r="7" spans="1:49" ht="21.75" customHeight="1">
      <c r="A7" s="33" t="s">
        <v>10</v>
      </c>
      <c r="C7" s="33" t="s">
        <v>25</v>
      </c>
      <c r="E7" s="33" t="s">
        <v>26</v>
      </c>
      <c r="G7" s="72" t="s">
        <v>27</v>
      </c>
      <c r="H7" s="72"/>
      <c r="I7" s="72"/>
      <c r="K7" s="70">
        <v>1015</v>
      </c>
      <c r="L7" s="70"/>
      <c r="M7" s="70"/>
      <c r="O7" s="70">
        <v>0</v>
      </c>
      <c r="P7" s="70"/>
      <c r="Q7" s="70"/>
      <c r="S7" s="72" t="s">
        <v>27</v>
      </c>
      <c r="T7" s="72"/>
      <c r="U7" s="72"/>
      <c r="V7" s="72"/>
      <c r="W7" s="72"/>
      <c r="Y7" s="72" t="s">
        <v>25</v>
      </c>
      <c r="Z7" s="72"/>
      <c r="AA7" s="72"/>
      <c r="AB7" s="72"/>
      <c r="AC7" s="72"/>
      <c r="AE7" s="72" t="s">
        <v>26</v>
      </c>
      <c r="AF7" s="72"/>
      <c r="AG7" s="72"/>
      <c r="AH7" s="72"/>
      <c r="AI7" s="72"/>
      <c r="AK7" s="72" t="s">
        <v>27</v>
      </c>
      <c r="AL7" s="72"/>
      <c r="AM7" s="72"/>
      <c r="AO7" s="70">
        <v>0</v>
      </c>
      <c r="AP7" s="70"/>
      <c r="AQ7" s="70"/>
      <c r="AS7" s="70">
        <v>0</v>
      </c>
      <c r="AT7" s="70"/>
      <c r="AV7" s="33" t="s">
        <v>27</v>
      </c>
    </row>
    <row r="8" spans="1:49" ht="21.75" customHeight="1">
      <c r="A8" s="34" t="s">
        <v>11</v>
      </c>
      <c r="C8" s="34" t="s">
        <v>25</v>
      </c>
      <c r="E8" s="34" t="s">
        <v>26</v>
      </c>
      <c r="G8" s="73" t="s">
        <v>27</v>
      </c>
      <c r="H8" s="73"/>
      <c r="I8" s="73"/>
      <c r="K8" s="71">
        <v>2016</v>
      </c>
      <c r="L8" s="71"/>
      <c r="M8" s="71"/>
      <c r="O8" s="71">
        <v>0</v>
      </c>
      <c r="P8" s="71"/>
      <c r="Q8" s="71"/>
      <c r="S8" s="73" t="s">
        <v>27</v>
      </c>
      <c r="T8" s="73"/>
      <c r="U8" s="73"/>
      <c r="V8" s="73"/>
      <c r="W8" s="73"/>
      <c r="Y8" s="73" t="s">
        <v>25</v>
      </c>
      <c r="Z8" s="73"/>
      <c r="AA8" s="73"/>
      <c r="AB8" s="73"/>
      <c r="AC8" s="73"/>
      <c r="AE8" s="73" t="s">
        <v>26</v>
      </c>
      <c r="AF8" s="73"/>
      <c r="AG8" s="73"/>
      <c r="AH8" s="73"/>
      <c r="AI8" s="73"/>
      <c r="AK8" s="73" t="s">
        <v>27</v>
      </c>
      <c r="AL8" s="73"/>
      <c r="AM8" s="73"/>
      <c r="AO8" s="71">
        <v>0</v>
      </c>
      <c r="AP8" s="71"/>
      <c r="AQ8" s="71"/>
      <c r="AS8" s="71">
        <v>0</v>
      </c>
      <c r="AT8" s="71"/>
      <c r="AV8" s="34" t="s">
        <v>27</v>
      </c>
    </row>
    <row r="9" spans="1:49" ht="21.75" customHeight="1">
      <c r="A9" s="34" t="s">
        <v>12</v>
      </c>
      <c r="C9" s="34" t="s">
        <v>25</v>
      </c>
      <c r="E9" s="34" t="s">
        <v>26</v>
      </c>
      <c r="G9" s="73" t="s">
        <v>27</v>
      </c>
      <c r="H9" s="73"/>
      <c r="I9" s="73"/>
      <c r="K9" s="71">
        <v>1510</v>
      </c>
      <c r="L9" s="71"/>
      <c r="M9" s="71"/>
      <c r="O9" s="71">
        <v>0</v>
      </c>
      <c r="P9" s="71"/>
      <c r="Q9" s="71"/>
      <c r="S9" s="73" t="s">
        <v>27</v>
      </c>
      <c r="T9" s="73"/>
      <c r="U9" s="73"/>
      <c r="V9" s="73"/>
      <c r="W9" s="73"/>
      <c r="Y9" s="73" t="s">
        <v>25</v>
      </c>
      <c r="Z9" s="73"/>
      <c r="AA9" s="73"/>
      <c r="AB9" s="73"/>
      <c r="AC9" s="73"/>
      <c r="AE9" s="73" t="s">
        <v>26</v>
      </c>
      <c r="AF9" s="73"/>
      <c r="AG9" s="73"/>
      <c r="AH9" s="73"/>
      <c r="AI9" s="73"/>
      <c r="AK9" s="73" t="s">
        <v>27</v>
      </c>
      <c r="AL9" s="73"/>
      <c r="AM9" s="73"/>
      <c r="AO9" s="71">
        <v>0</v>
      </c>
      <c r="AP9" s="71"/>
      <c r="AQ9" s="71"/>
      <c r="AS9" s="71">
        <v>0</v>
      </c>
      <c r="AT9" s="71"/>
      <c r="AV9" s="34" t="s">
        <v>27</v>
      </c>
    </row>
    <row r="10" spans="1:49" ht="21.75" customHeight="1">
      <c r="A10" s="34" t="s">
        <v>13</v>
      </c>
      <c r="C10" s="34" t="s">
        <v>25</v>
      </c>
      <c r="E10" s="34" t="s">
        <v>26</v>
      </c>
      <c r="G10" s="73" t="s">
        <v>27</v>
      </c>
      <c r="H10" s="73"/>
      <c r="I10" s="73"/>
      <c r="K10" s="71">
        <v>3015</v>
      </c>
      <c r="L10" s="71"/>
      <c r="M10" s="71"/>
      <c r="O10" s="71">
        <v>0</v>
      </c>
      <c r="P10" s="71"/>
      <c r="Q10" s="71"/>
      <c r="S10" s="73" t="s">
        <v>27</v>
      </c>
      <c r="T10" s="73"/>
      <c r="U10" s="73"/>
      <c r="V10" s="73"/>
      <c r="W10" s="73"/>
      <c r="Y10" s="73" t="s">
        <v>25</v>
      </c>
      <c r="Z10" s="73"/>
      <c r="AA10" s="73"/>
      <c r="AB10" s="73"/>
      <c r="AC10" s="73"/>
      <c r="AE10" s="73" t="s">
        <v>26</v>
      </c>
      <c r="AF10" s="73"/>
      <c r="AG10" s="73"/>
      <c r="AH10" s="73"/>
      <c r="AI10" s="73"/>
      <c r="AK10" s="73" t="s">
        <v>27</v>
      </c>
      <c r="AL10" s="73"/>
      <c r="AM10" s="73"/>
      <c r="AO10" s="71">
        <v>0</v>
      </c>
      <c r="AP10" s="71"/>
      <c r="AQ10" s="71"/>
      <c r="AS10" s="71">
        <v>0</v>
      </c>
      <c r="AT10" s="71"/>
      <c r="AV10" s="34" t="s">
        <v>27</v>
      </c>
    </row>
    <row r="11" spans="1:49" ht="21.75" customHeight="1">
      <c r="A11" s="34" t="s">
        <v>14</v>
      </c>
      <c r="C11" s="34" t="s">
        <v>25</v>
      </c>
      <c r="E11" s="34" t="s">
        <v>26</v>
      </c>
      <c r="G11" s="73" t="s">
        <v>27</v>
      </c>
      <c r="H11" s="73"/>
      <c r="I11" s="73"/>
      <c r="K11" s="71">
        <v>1015</v>
      </c>
      <c r="L11" s="71"/>
      <c r="M11" s="71"/>
      <c r="O11" s="71">
        <v>0</v>
      </c>
      <c r="P11" s="71"/>
      <c r="Q11" s="71"/>
      <c r="S11" s="73" t="s">
        <v>27</v>
      </c>
      <c r="T11" s="73"/>
      <c r="U11" s="73"/>
      <c r="V11" s="73"/>
      <c r="W11" s="73"/>
      <c r="Y11" s="73" t="s">
        <v>25</v>
      </c>
      <c r="Z11" s="73"/>
      <c r="AA11" s="73"/>
      <c r="AB11" s="73"/>
      <c r="AC11" s="73"/>
      <c r="AE11" s="73" t="s">
        <v>26</v>
      </c>
      <c r="AF11" s="73"/>
      <c r="AG11" s="73"/>
      <c r="AH11" s="73"/>
      <c r="AI11" s="73"/>
      <c r="AK11" s="73" t="s">
        <v>27</v>
      </c>
      <c r="AL11" s="73"/>
      <c r="AM11" s="73"/>
      <c r="AO11" s="71">
        <v>0</v>
      </c>
      <c r="AP11" s="71"/>
      <c r="AQ11" s="71"/>
      <c r="AS11" s="71">
        <v>0</v>
      </c>
      <c r="AT11" s="71"/>
      <c r="AV11" s="34" t="s">
        <v>27</v>
      </c>
    </row>
    <row r="12" spans="1:49" ht="21.75" customHeight="1" thickBot="1">
      <c r="K12" s="74">
        <f>SUM(K7:M11)</f>
        <v>8571</v>
      </c>
      <c r="L12" s="75"/>
      <c r="M12" s="7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74">
        <f>SUM(AO7:AQ11)</f>
        <v>0</v>
      </c>
      <c r="AP12" s="75"/>
      <c r="AQ12" s="75"/>
      <c r="AR12" s="35"/>
      <c r="AS12" s="35"/>
    </row>
    <row r="13" spans="1:49" ht="21.75" customHeight="1" thickTop="1"/>
    <row r="14" spans="1:49" ht="21.75" customHeight="1"/>
  </sheetData>
  <mergeCells count="62">
    <mergeCell ref="K12:M12"/>
    <mergeCell ref="AO12:AQ12"/>
    <mergeCell ref="AE11:AI11"/>
    <mergeCell ref="AK11:AM11"/>
    <mergeCell ref="AO11:AQ11"/>
    <mergeCell ref="AS11:AT11"/>
    <mergeCell ref="G11:I11"/>
    <mergeCell ref="K11:M11"/>
    <mergeCell ref="O11:Q11"/>
    <mergeCell ref="S11:W11"/>
    <mergeCell ref="Y11:AC11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G8:I8"/>
    <mergeCell ref="K8:M8"/>
    <mergeCell ref="O8:Q8"/>
    <mergeCell ref="S8:W8"/>
    <mergeCell ref="Y8:AC8"/>
    <mergeCell ref="AE7:AI7"/>
    <mergeCell ref="AK7:AM7"/>
    <mergeCell ref="AO7:AQ7"/>
    <mergeCell ref="AE6:AI6"/>
    <mergeCell ref="AK6:AM6"/>
    <mergeCell ref="AO6:AQ6"/>
    <mergeCell ref="AS6:AT6"/>
    <mergeCell ref="AS7:AT7"/>
    <mergeCell ref="G6:I6"/>
    <mergeCell ref="K6:M6"/>
    <mergeCell ref="O6:Q6"/>
    <mergeCell ref="S6:W6"/>
    <mergeCell ref="Y6:AC6"/>
    <mergeCell ref="A4:AW4"/>
    <mergeCell ref="A1:AW1"/>
    <mergeCell ref="A2:AW2"/>
    <mergeCell ref="A3:AW3"/>
    <mergeCell ref="C5:W5"/>
    <mergeCell ref="Y5:AV5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zoomScale="136" zoomScaleNormal="100" zoomScaleSheetLayoutView="136" workbookViewId="0">
      <selection activeCell="A26" sqref="A26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3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1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4.45" customHeight="1"/>
    <row r="5" spans="1:11" ht="14.45" customHeight="1">
      <c r="A5" s="66" t="s">
        <v>70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4.45" customHeight="1">
      <c r="C6" s="2" t="s">
        <v>90</v>
      </c>
      <c r="E6" s="68" t="s">
        <v>1</v>
      </c>
      <c r="F6" s="68"/>
      <c r="G6" s="68"/>
      <c r="I6" s="76" t="s">
        <v>92</v>
      </c>
      <c r="J6" s="76"/>
      <c r="K6" s="76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28</v>
      </c>
      <c r="E8" s="2" t="s">
        <v>29</v>
      </c>
      <c r="G8" s="2" t="s">
        <v>30</v>
      </c>
      <c r="I8" s="2" t="s">
        <v>28</v>
      </c>
      <c r="K8" s="2" t="s">
        <v>9</v>
      </c>
    </row>
    <row r="9" spans="1:11" ht="21.75" customHeight="1">
      <c r="A9" s="9" t="s">
        <v>31</v>
      </c>
      <c r="C9" s="11">
        <v>4061195066</v>
      </c>
      <c r="D9" s="14"/>
      <c r="E9" s="11">
        <v>2899331072365</v>
      </c>
      <c r="F9" s="14"/>
      <c r="G9" s="11">
        <v>2899863147939</v>
      </c>
      <c r="H9" s="14"/>
      <c r="I9" s="12">
        <f>C9+E9-G9</f>
        <v>3529119492</v>
      </c>
      <c r="J9" s="14"/>
      <c r="K9" s="16">
        <f>I9/25196358750786*100</f>
        <v>1.4006466279140073E-2</v>
      </c>
    </row>
    <row r="10" spans="1:11" ht="21.75" customHeight="1">
      <c r="A10" s="8" t="s">
        <v>32</v>
      </c>
      <c r="C10" s="12">
        <v>410221047</v>
      </c>
      <c r="D10" s="14"/>
      <c r="E10" s="12">
        <v>1678537</v>
      </c>
      <c r="F10" s="14"/>
      <c r="G10" s="12">
        <v>137500</v>
      </c>
      <c r="H10" s="14"/>
      <c r="I10" s="12">
        <f>C10+E10-G10</f>
        <v>411762084</v>
      </c>
      <c r="J10" s="14"/>
      <c r="K10" s="16">
        <f>I10/25196358750786*100</f>
        <v>1.634212657760142E-3</v>
      </c>
    </row>
    <row r="11" spans="1:11" ht="21.75" customHeight="1" thickBot="1">
      <c r="A11" s="22"/>
      <c r="C11" s="13">
        <f>SUM(C9:C10)</f>
        <v>4471416113</v>
      </c>
      <c r="D11" s="14"/>
      <c r="E11" s="13">
        <f>SUM(E9:E10)</f>
        <v>2899332750902</v>
      </c>
      <c r="F11" s="14"/>
      <c r="G11" s="13">
        <f>SUM(G9:G10)</f>
        <v>2899863285439</v>
      </c>
      <c r="H11" s="14"/>
      <c r="I11" s="19">
        <f>SUM(I9:I10)</f>
        <v>3940881576</v>
      </c>
      <c r="J11" s="14"/>
      <c r="K11" s="37">
        <f>SUM(K9:K10)</f>
        <v>1.5640678936900215E-2</v>
      </c>
    </row>
    <row r="12" spans="1:11" ht="13.5" thickTop="1">
      <c r="G12" s="23"/>
      <c r="I12" s="23"/>
    </row>
    <row r="13" spans="1:11">
      <c r="C13" s="23"/>
      <c r="I13" s="23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5"/>
  <sheetViews>
    <sheetView rightToLeft="1" view="pageBreakPreview" zoomScale="118" zoomScaleNormal="100" zoomScaleSheetLayoutView="118" workbookViewId="0">
      <selection activeCell="L3" sqref="L3:L17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7.28515625" bestFit="1" customWidth="1"/>
    <col min="13" max="14" width="17.28515625" hidden="1" customWidth="1"/>
  </cols>
  <sheetData>
    <row r="1" spans="1:14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</row>
    <row r="2" spans="1:14" ht="21.75" customHeight="1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</row>
    <row r="3" spans="1:14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</row>
    <row r="4" spans="1:14" ht="14.45" customHeight="1"/>
    <row r="5" spans="1:14" ht="29.1" customHeight="1">
      <c r="A5" s="1" t="s">
        <v>34</v>
      </c>
      <c r="B5" s="69" t="s">
        <v>35</v>
      </c>
      <c r="C5" s="69"/>
      <c r="D5" s="69"/>
      <c r="E5" s="69"/>
      <c r="F5" s="69"/>
      <c r="G5" s="69"/>
      <c r="H5" s="69"/>
      <c r="I5" s="69"/>
      <c r="J5" s="69"/>
    </row>
    <row r="6" spans="1:14" ht="14.45" customHeight="1"/>
    <row r="7" spans="1:14" ht="14.45" customHeight="1">
      <c r="A7" s="68" t="s">
        <v>36</v>
      </c>
      <c r="B7" s="68"/>
      <c r="D7" s="2" t="s">
        <v>37</v>
      </c>
      <c r="F7" s="2" t="s">
        <v>28</v>
      </c>
      <c r="H7" s="2" t="s">
        <v>38</v>
      </c>
      <c r="J7" s="2" t="s">
        <v>39</v>
      </c>
    </row>
    <row r="8" spans="1:14" ht="21.75" customHeight="1">
      <c r="A8" s="78" t="s">
        <v>40</v>
      </c>
      <c r="B8" s="78"/>
      <c r="C8" s="14"/>
      <c r="D8" s="51" t="s">
        <v>41</v>
      </c>
      <c r="E8" s="14"/>
      <c r="F8" s="11">
        <f>'درآمد سرمایه گذاری در سهام'!S23</f>
        <v>12850879901890</v>
      </c>
      <c r="G8" s="14"/>
      <c r="H8" s="15">
        <f>F8/F11*100</f>
        <v>99.973319525502632</v>
      </c>
      <c r="I8" s="14"/>
      <c r="J8" s="16">
        <f>F8/20463599941569*100</f>
        <v>62.79872524181436</v>
      </c>
      <c r="L8" s="23"/>
      <c r="M8" s="23">
        <f>'درآمد سرمایه گذاری در سهام'!I23</f>
        <v>4603683309256</v>
      </c>
      <c r="N8" s="23">
        <f>'درآمد سرمایه گذاری در سهام'!I23</f>
        <v>4603683309256</v>
      </c>
    </row>
    <row r="9" spans="1:14" ht="21.75" customHeight="1">
      <c r="A9" s="79" t="s">
        <v>43</v>
      </c>
      <c r="B9" s="79"/>
      <c r="C9" s="14"/>
      <c r="D9" s="52" t="s">
        <v>42</v>
      </c>
      <c r="E9" s="14"/>
      <c r="F9" s="12">
        <f>'درآمد سپرده بانکی'!G10</f>
        <v>97849195</v>
      </c>
      <c r="G9" s="14"/>
      <c r="H9" s="16">
        <f>F9/F11*100</f>
        <v>7.6121704597126576E-4</v>
      </c>
      <c r="I9" s="14"/>
      <c r="J9" s="16">
        <f t="shared" ref="J9:J10" si="0">F9/20463599941569*100</f>
        <v>4.7816217713107632E-4</v>
      </c>
      <c r="L9" s="23"/>
      <c r="M9" s="23">
        <f>'سود سپرده بانکی'!G10</f>
        <v>9935479</v>
      </c>
      <c r="N9" s="23">
        <f>'درآمد سپرده بانکی'!C10</f>
        <v>9935479</v>
      </c>
    </row>
    <row r="10" spans="1:14" ht="21.75" customHeight="1">
      <c r="A10" s="79" t="s">
        <v>84</v>
      </c>
      <c r="B10" s="79"/>
      <c r="C10" s="14"/>
      <c r="D10" s="52" t="s">
        <v>85</v>
      </c>
      <c r="E10" s="14"/>
      <c r="F10" s="12">
        <f>'سایر درآمدها'!F9</f>
        <v>3331741571</v>
      </c>
      <c r="G10" s="14"/>
      <c r="H10" s="16">
        <f>F10/F11*100</f>
        <v>2.5919257451390215E-2</v>
      </c>
      <c r="I10" s="14"/>
      <c r="J10" s="16">
        <f t="shared" si="0"/>
        <v>1.6281307201632806E-2</v>
      </c>
      <c r="L10" s="53"/>
      <c r="M10" s="53">
        <f>'سایر درآمدها'!D9</f>
        <v>1852294173</v>
      </c>
      <c r="N10" s="53">
        <f>'سایر درآمدها'!D9</f>
        <v>1852294173</v>
      </c>
    </row>
    <row r="11" spans="1:14" ht="21.75" customHeight="1" thickBot="1">
      <c r="A11" s="77"/>
      <c r="B11" s="77"/>
      <c r="C11" s="14"/>
      <c r="D11" s="12"/>
      <c r="E11" s="14"/>
      <c r="F11" s="13">
        <f>SUM(F8:F10)</f>
        <v>12854309492656</v>
      </c>
      <c r="G11" s="14"/>
      <c r="H11" s="18">
        <f>SUM(H8:H10)</f>
        <v>100</v>
      </c>
      <c r="I11" s="14"/>
      <c r="J11" s="18">
        <f>SUM(J8:J10)</f>
        <v>62.815484711193122</v>
      </c>
      <c r="L11" s="23"/>
      <c r="M11" s="23">
        <f>SUM(M8:M10)</f>
        <v>4605545538908</v>
      </c>
    </row>
    <row r="12" spans="1:14" ht="13.5" thickTop="1"/>
    <row r="13" spans="1:14">
      <c r="F13" s="23">
        <v>12854309492656</v>
      </c>
      <c r="L13" s="23"/>
    </row>
    <row r="14" spans="1:14">
      <c r="F14" s="23">
        <f>F11-F13</f>
        <v>0</v>
      </c>
      <c r="L14" s="23"/>
      <c r="N14" s="23"/>
    </row>
    <row r="15" spans="1:14">
      <c r="F15" s="23"/>
      <c r="N15" s="23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27"/>
  <sheetViews>
    <sheetView rightToLeft="1" view="pageBreakPreview" topLeftCell="B13" zoomScaleNormal="100" zoomScaleSheetLayoutView="100" workbookViewId="0">
      <selection activeCell="AB27" sqref="AB27"/>
    </sheetView>
  </sheetViews>
  <sheetFormatPr defaultRowHeight="12.75"/>
  <cols>
    <col min="1" max="1" width="81.28515625" bestFit="1" customWidth="1"/>
    <col min="2" max="2" width="1.28515625" customWidth="1"/>
    <col min="3" max="3" width="14.7109375" style="14" bestFit="1" customWidth="1"/>
    <col min="4" max="4" width="1.28515625" style="14" customWidth="1"/>
    <col min="5" max="5" width="17.85546875" style="14" bestFit="1" customWidth="1"/>
    <col min="6" max="6" width="1.28515625" style="14" customWidth="1"/>
    <col min="7" max="7" width="16" style="14" bestFit="1" customWidth="1"/>
    <col min="8" max="8" width="1.28515625" style="14" customWidth="1"/>
    <col min="9" max="9" width="17.85546875" style="14" bestFit="1" customWidth="1"/>
    <col min="10" max="10" width="1.28515625" style="14" customWidth="1"/>
    <col min="11" max="11" width="20.42578125" style="14" bestFit="1" customWidth="1"/>
    <col min="12" max="12" width="1.28515625" style="14" customWidth="1"/>
    <col min="13" max="13" width="14.7109375" style="14" bestFit="1" customWidth="1"/>
    <col min="14" max="14" width="1.28515625" style="14" customWidth="1"/>
    <col min="15" max="15" width="18.85546875" style="14" bestFit="1" customWidth="1"/>
    <col min="16" max="16" width="1.28515625" style="14" customWidth="1"/>
    <col min="17" max="17" width="17.85546875" style="14" bestFit="1" customWidth="1"/>
    <col min="18" max="18" width="1.28515625" style="14" customWidth="1"/>
    <col min="19" max="19" width="18.85546875" style="14" bestFit="1" customWidth="1"/>
    <col min="20" max="20" width="1.28515625" style="14" customWidth="1"/>
    <col min="21" max="21" width="17.28515625" style="14" bestFit="1" customWidth="1"/>
    <col min="22" max="22" width="0.28515625" customWidth="1"/>
  </cols>
  <sheetData>
    <row r="1" spans="1:21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21.75" customHeight="1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ht="14.45" customHeight="1"/>
    <row r="5" spans="1:21" ht="14.45" customHeight="1">
      <c r="A5" s="66" t="s">
        <v>71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4.45" customHeight="1">
      <c r="C6" s="68" t="s">
        <v>44</v>
      </c>
      <c r="D6" s="68"/>
      <c r="E6" s="68"/>
      <c r="F6" s="68"/>
      <c r="G6" s="68"/>
      <c r="H6" s="68"/>
      <c r="I6" s="68"/>
      <c r="J6" s="68"/>
      <c r="K6" s="68"/>
      <c r="M6" s="68" t="s">
        <v>45</v>
      </c>
      <c r="N6" s="68"/>
      <c r="O6" s="68"/>
      <c r="P6" s="68"/>
      <c r="Q6" s="68"/>
      <c r="R6" s="68"/>
      <c r="S6" s="68"/>
      <c r="T6" s="68"/>
      <c r="U6" s="68"/>
    </row>
    <row r="7" spans="1:21" ht="14.45" customHeight="1">
      <c r="C7" s="38"/>
      <c r="D7" s="38"/>
      <c r="E7" s="38"/>
      <c r="F7" s="38"/>
      <c r="G7" s="38"/>
      <c r="H7" s="38"/>
      <c r="I7" s="65" t="s">
        <v>16</v>
      </c>
      <c r="J7" s="65"/>
      <c r="K7" s="65"/>
      <c r="M7" s="38"/>
      <c r="N7" s="38"/>
      <c r="O7" s="38"/>
      <c r="P7" s="38"/>
      <c r="Q7" s="38"/>
      <c r="R7" s="38"/>
      <c r="S7" s="65" t="s">
        <v>16</v>
      </c>
      <c r="T7" s="65"/>
      <c r="U7" s="65"/>
    </row>
    <row r="8" spans="1:21" ht="14.45" customHeight="1">
      <c r="A8" s="2"/>
      <c r="C8" s="2" t="s">
        <v>46</v>
      </c>
      <c r="E8" s="2" t="s">
        <v>47</v>
      </c>
      <c r="G8" s="2" t="s">
        <v>48</v>
      </c>
      <c r="I8" s="4" t="s">
        <v>28</v>
      </c>
      <c r="J8" s="38"/>
      <c r="K8" s="4" t="s">
        <v>38</v>
      </c>
      <c r="M8" s="2" t="s">
        <v>46</v>
      </c>
      <c r="O8" s="10" t="s">
        <v>47</v>
      </c>
      <c r="Q8" s="2" t="s">
        <v>48</v>
      </c>
      <c r="S8" s="4" t="s">
        <v>28</v>
      </c>
      <c r="T8" s="38"/>
      <c r="U8" s="4" t="s">
        <v>38</v>
      </c>
    </row>
    <row r="9" spans="1:21" ht="21.75" customHeight="1">
      <c r="A9" s="9" t="s">
        <v>15</v>
      </c>
      <c r="C9" s="11">
        <v>0</v>
      </c>
      <c r="E9" s="12">
        <f>VLOOKUP(A9,'درآمد ناشی از تغییر قیمت اوراق'!A:Q,9,0)</f>
        <v>3943110390972</v>
      </c>
      <c r="G9" s="12">
        <f>'درآمد ناشی از فروش'!I8</f>
        <v>657848193850</v>
      </c>
      <c r="I9" s="11">
        <f>C9+E9+G9</f>
        <v>4600958584822</v>
      </c>
      <c r="K9" s="16">
        <f>I9/4605545538908*100</f>
        <v>99.900403675368125</v>
      </c>
      <c r="M9" s="11">
        <v>0</v>
      </c>
      <c r="O9" s="12">
        <f>'درآمد ناشی از تغییر قیمت اوراق'!Q8</f>
        <v>10883835609751</v>
      </c>
      <c r="Q9" s="12">
        <f>IFERROR(VLOOKUP(A9,'درآمد ناشی از فروش'!A:Q,17,0),0)</f>
        <v>1823538262947</v>
      </c>
      <c r="S9" s="12">
        <f>M9+O9+Q9</f>
        <v>12707373872698</v>
      </c>
      <c r="U9" s="16">
        <f>S9/درآمد!$F$11*100</f>
        <v>98.856915495601314</v>
      </c>
    </row>
    <row r="10" spans="1:21" ht="21.75" customHeight="1">
      <c r="A10" s="8" t="s">
        <v>49</v>
      </c>
      <c r="C10" s="12">
        <v>0</v>
      </c>
      <c r="E10" s="12">
        <v>0</v>
      </c>
      <c r="G10" s="12">
        <v>0</v>
      </c>
      <c r="I10" s="12">
        <f>C10+E10+G10</f>
        <v>0</v>
      </c>
      <c r="K10" s="16">
        <f t="shared" ref="K10:K22" si="0">I10/4605545538908*100</f>
        <v>0</v>
      </c>
      <c r="M10" s="12">
        <v>0</v>
      </c>
      <c r="O10" s="12">
        <v>0</v>
      </c>
      <c r="Q10" s="12">
        <f>IFERROR(VLOOKUP(A10,'درآمد ناشی از فروش'!A:Q,17,0),0)</f>
        <v>50158547025</v>
      </c>
      <c r="S10" s="12">
        <f>M10+O10+Q10</f>
        <v>50158547025</v>
      </c>
      <c r="U10" s="16">
        <f>S10/درآمد!$F$11*100</f>
        <v>0.39020802364885393</v>
      </c>
    </row>
    <row r="11" spans="1:21" ht="21.75" customHeight="1">
      <c r="A11" s="8" t="s">
        <v>10</v>
      </c>
      <c r="C11" s="12">
        <v>0</v>
      </c>
      <c r="E11" s="12">
        <f>VLOOKUP(A11,'درآمد ناشی از تغییر قیمت اوراق'!A:Q,9,0)</f>
        <v>-7238586472</v>
      </c>
      <c r="G11" s="12">
        <f>IFERROR(VLOOKUP(A11,'درآمد اعمال اختیار'!A:L,10,0),0)</f>
        <v>7851327396</v>
      </c>
      <c r="I11" s="12">
        <f t="shared" ref="I11:I22" si="1">C11+E11+G11</f>
        <v>612740924</v>
      </c>
      <c r="K11" s="16">
        <f t="shared" si="0"/>
        <v>1.3304415705447227E-2</v>
      </c>
      <c r="M11" s="12">
        <v>0</v>
      </c>
      <c r="O11" s="12">
        <v>0</v>
      </c>
      <c r="Q11" s="12">
        <f>IFERROR(VLOOKUP(A11,'درآمد اعمال اختیار'!A:L,12,0),0)</f>
        <v>7851327396</v>
      </c>
      <c r="S11" s="12">
        <f t="shared" ref="S11:S22" si="2">M11+O11+Q11</f>
        <v>7851327396</v>
      </c>
      <c r="U11" s="16">
        <f>S11/درآمد!$F$11*100</f>
        <v>6.1079339971436553E-2</v>
      </c>
    </row>
    <row r="12" spans="1:21" ht="21.75" customHeight="1">
      <c r="A12" s="8" t="s">
        <v>11</v>
      </c>
      <c r="C12" s="12">
        <v>0</v>
      </c>
      <c r="E12" s="12">
        <f>VLOOKUP(A12,'درآمد ناشی از تغییر قیمت اوراق'!A:Q,9,0)</f>
        <v>-13459754119</v>
      </c>
      <c r="G12" s="12">
        <f>IFERROR(VLOOKUP(A12,'درآمد اعمال اختیار'!A:L,10,0),0)</f>
        <v>13506334256</v>
      </c>
      <c r="I12" s="12">
        <f t="shared" si="1"/>
        <v>46580137</v>
      </c>
      <c r="K12" s="16">
        <f t="shared" si="0"/>
        <v>1.011392387861274E-3</v>
      </c>
      <c r="M12" s="12">
        <v>0</v>
      </c>
      <c r="O12" s="12">
        <v>0</v>
      </c>
      <c r="Q12" s="12">
        <f>IFERROR(VLOOKUP(A12,'درآمد اعمال اختیار'!A:L,12,0),0)</f>
        <v>13506334256</v>
      </c>
      <c r="S12" s="12">
        <f t="shared" si="2"/>
        <v>13506334256</v>
      </c>
      <c r="U12" s="16">
        <f>S12/درآمد!$F$11*100</f>
        <v>0.10507242153860166</v>
      </c>
    </row>
    <row r="13" spans="1:21" ht="21.75" customHeight="1">
      <c r="A13" s="8" t="s">
        <v>12</v>
      </c>
      <c r="C13" s="12">
        <v>0</v>
      </c>
      <c r="E13" s="12">
        <f>VLOOKUP(A13,'درآمد ناشی از تغییر قیمت اوراق'!A:Q,9,0)</f>
        <v>-10439455097</v>
      </c>
      <c r="G13" s="12">
        <f>IFERROR(VLOOKUP(A13,'درآمد اعمال اختیار'!A:L,10,0),0)</f>
        <v>12192942597</v>
      </c>
      <c r="I13" s="12">
        <f t="shared" si="1"/>
        <v>1753487500</v>
      </c>
      <c r="K13" s="16">
        <f t="shared" si="0"/>
        <v>3.807339402436484E-2</v>
      </c>
      <c r="M13" s="12">
        <v>0</v>
      </c>
      <c r="O13" s="12">
        <v>0</v>
      </c>
      <c r="Q13" s="12">
        <f>IFERROR(VLOOKUP(A13,'درآمد اعمال اختیار'!A:L,12,0),0)</f>
        <v>12192942597</v>
      </c>
      <c r="S13" s="12">
        <f t="shared" si="2"/>
        <v>12192942597</v>
      </c>
      <c r="U13" s="16">
        <f>S13/درآمد!$F$11*100</f>
        <v>9.4854901416261558E-2</v>
      </c>
    </row>
    <row r="14" spans="1:21" ht="21.75" customHeight="1">
      <c r="A14" s="8" t="s">
        <v>13</v>
      </c>
      <c r="C14" s="12">
        <v>0</v>
      </c>
      <c r="E14" s="12">
        <f>VLOOKUP(A14,'درآمد ناشی از تغییر قیمت اوراق'!A:Q,9,0)</f>
        <v>-21739685511</v>
      </c>
      <c r="G14" s="12">
        <f>IFERROR(VLOOKUP(A14,'درآمد اعمال اختیار'!A:L,10,0),0)</f>
        <v>21986883549</v>
      </c>
      <c r="I14" s="12">
        <f t="shared" si="1"/>
        <v>247198038</v>
      </c>
      <c r="K14" s="16">
        <f t="shared" si="0"/>
        <v>5.3673997121872338E-3</v>
      </c>
      <c r="M14" s="12">
        <v>0</v>
      </c>
      <c r="O14" s="12">
        <v>0</v>
      </c>
      <c r="Q14" s="12">
        <f>IFERROR(VLOOKUP(A14,'درآمد اعمال اختیار'!A:L,12,0),0)</f>
        <v>21986883549</v>
      </c>
      <c r="S14" s="12">
        <f t="shared" si="2"/>
        <v>21986883549</v>
      </c>
      <c r="U14" s="16">
        <f>S14/درآمد!$F$11*100</f>
        <v>0.17104678832854986</v>
      </c>
    </row>
    <row r="15" spans="1:21" ht="21.75" customHeight="1">
      <c r="A15" s="8" t="s">
        <v>14</v>
      </c>
      <c r="C15" s="12">
        <v>0</v>
      </c>
      <c r="E15" s="12">
        <f>VLOOKUP(A15,'درآمد ناشی از تغییر قیمت اوراق'!A:Q,9,0)</f>
        <v>-7888518284</v>
      </c>
      <c r="G15" s="12">
        <f>IFERROR(VLOOKUP(A15,'درآمد اعمال اختیار'!A:L,10,0),0)</f>
        <v>7953236119</v>
      </c>
      <c r="I15" s="12">
        <f t="shared" si="1"/>
        <v>64717835</v>
      </c>
      <c r="K15" s="16">
        <f t="shared" si="0"/>
        <v>1.4052153963794037E-3</v>
      </c>
      <c r="M15" s="12">
        <v>0</v>
      </c>
      <c r="O15" s="12">
        <v>0</v>
      </c>
      <c r="Q15" s="12">
        <f>IFERROR(VLOOKUP(A15,'درآمد اعمال اختیار'!A:L,12,0),0)</f>
        <v>7953236119</v>
      </c>
      <c r="S15" s="12">
        <f t="shared" si="2"/>
        <v>7953236119</v>
      </c>
      <c r="U15" s="16">
        <f>S15/درآمد!$F$11*100</f>
        <v>6.1872138083682283E-2</v>
      </c>
    </row>
    <row r="16" spans="1:21" ht="21.75" customHeight="1">
      <c r="A16" s="8" t="s">
        <v>73</v>
      </c>
      <c r="C16" s="12">
        <v>0</v>
      </c>
      <c r="E16" s="12">
        <v>0</v>
      </c>
      <c r="G16" s="12">
        <f>IFERROR(VLOOKUP(A16,'درآمد اعمال اختیار'!A:L,10,0),0)</f>
        <v>0</v>
      </c>
      <c r="I16" s="12">
        <f t="shared" si="1"/>
        <v>0</v>
      </c>
      <c r="K16" s="16">
        <f t="shared" si="0"/>
        <v>0</v>
      </c>
      <c r="M16" s="12">
        <v>0</v>
      </c>
      <c r="O16" s="12">
        <v>0</v>
      </c>
      <c r="Q16" s="12">
        <f>IFERROR(VLOOKUP(A16,'درآمد اعمال اختیار'!A:L,12,0),0)</f>
        <v>2323243497</v>
      </c>
      <c r="S16" s="12">
        <f t="shared" si="2"/>
        <v>2323243497</v>
      </c>
      <c r="U16" s="16">
        <f>S16/درآمد!$F$11*100</f>
        <v>1.8073654585081596E-2</v>
      </c>
    </row>
    <row r="17" spans="1:21" ht="21.75" customHeight="1">
      <c r="A17" s="8" t="s">
        <v>74</v>
      </c>
      <c r="C17" s="12">
        <v>0</v>
      </c>
      <c r="E17" s="12">
        <v>0</v>
      </c>
      <c r="G17" s="12">
        <f>IFERROR(VLOOKUP(A17,'درآمد اعمال اختیار'!A:L,10,0),0)</f>
        <v>0</v>
      </c>
      <c r="I17" s="12">
        <f t="shared" si="1"/>
        <v>0</v>
      </c>
      <c r="K17" s="16">
        <f t="shared" si="0"/>
        <v>0</v>
      </c>
      <c r="M17" s="12">
        <v>0</v>
      </c>
      <c r="O17" s="12">
        <v>0</v>
      </c>
      <c r="Q17" s="12">
        <f>IFERROR(VLOOKUP(A17,'درآمد اعمال اختیار'!A:L,12,0),0)</f>
        <v>950536282</v>
      </c>
      <c r="S17" s="12">
        <f t="shared" si="2"/>
        <v>950536282</v>
      </c>
      <c r="U17" s="16">
        <f>S17/درآمد!$F$11*100</f>
        <v>7.3946895595058291E-3</v>
      </c>
    </row>
    <row r="18" spans="1:21" ht="21.75" customHeight="1">
      <c r="A18" s="8" t="s">
        <v>75</v>
      </c>
      <c r="C18" s="12">
        <v>0</v>
      </c>
      <c r="E18" s="12">
        <v>0</v>
      </c>
      <c r="G18" s="12">
        <f>IFERROR(VLOOKUP(A18,'درآمد اعمال اختیار'!A:L,10,0),0)</f>
        <v>0</v>
      </c>
      <c r="I18" s="12">
        <f t="shared" si="1"/>
        <v>0</v>
      </c>
      <c r="K18" s="16">
        <f t="shared" si="0"/>
        <v>0</v>
      </c>
      <c r="M18" s="12">
        <v>0</v>
      </c>
      <c r="O18" s="12">
        <v>0</v>
      </c>
      <c r="Q18" s="12">
        <f>IFERROR(VLOOKUP(A18,'درآمد اعمال اختیار'!A:L,12,0),0)</f>
        <v>11623371119</v>
      </c>
      <c r="S18" s="12">
        <f t="shared" si="2"/>
        <v>11623371119</v>
      </c>
      <c r="U18" s="16">
        <f>S18/درآمد!$F$11*100</f>
        <v>9.0423924565070826E-2</v>
      </c>
    </row>
    <row r="19" spans="1:21" ht="21.75" customHeight="1">
      <c r="A19" s="8" t="s">
        <v>76</v>
      </c>
      <c r="C19" s="12">
        <v>0</v>
      </c>
      <c r="E19" s="12">
        <v>0</v>
      </c>
      <c r="G19" s="12">
        <f>IFERROR(VLOOKUP(A19,'درآمد اعمال اختیار'!A:L,10,0),0)</f>
        <v>0</v>
      </c>
      <c r="I19" s="12">
        <f t="shared" si="1"/>
        <v>0</v>
      </c>
      <c r="K19" s="16">
        <f t="shared" si="0"/>
        <v>0</v>
      </c>
      <c r="M19" s="12">
        <v>0</v>
      </c>
      <c r="O19" s="12">
        <v>0</v>
      </c>
      <c r="Q19" s="12">
        <f>IFERROR(VLOOKUP(A19,'درآمد اعمال اختیار'!A:L,12,0),0)</f>
        <v>9403317173</v>
      </c>
      <c r="S19" s="12">
        <f t="shared" si="2"/>
        <v>9403317173</v>
      </c>
      <c r="U19" s="16">
        <f>S19/درآمد!$F$11*100</f>
        <v>7.3153032283627198E-2</v>
      </c>
    </row>
    <row r="20" spans="1:21" ht="21.75" customHeight="1">
      <c r="A20" s="8" t="s">
        <v>77</v>
      </c>
      <c r="C20" s="12">
        <v>0</v>
      </c>
      <c r="E20" s="12">
        <v>0</v>
      </c>
      <c r="G20" s="12">
        <f>IFERROR(VLOOKUP(A20,'درآمد اعمال اختیار'!A:L,10,0),0)</f>
        <v>0</v>
      </c>
      <c r="I20" s="12">
        <f t="shared" si="1"/>
        <v>0</v>
      </c>
      <c r="K20" s="16">
        <f t="shared" si="0"/>
        <v>0</v>
      </c>
      <c r="M20" s="12">
        <v>0</v>
      </c>
      <c r="O20" s="12">
        <v>0</v>
      </c>
      <c r="Q20" s="12">
        <f>IFERROR(VLOOKUP(A20,'درآمد اعمال اختیار'!A:L,12,0),0)</f>
        <v>3737822385</v>
      </c>
      <c r="S20" s="12">
        <f t="shared" si="2"/>
        <v>3737822385</v>
      </c>
      <c r="U20" s="16">
        <f>S20/درآمد!$F$11*100</f>
        <v>2.9078359962746464E-2</v>
      </c>
    </row>
    <row r="21" spans="1:21" ht="21.75" customHeight="1">
      <c r="A21" s="8" t="s">
        <v>78</v>
      </c>
      <c r="C21" s="12">
        <v>0</v>
      </c>
      <c r="E21" s="12">
        <v>0</v>
      </c>
      <c r="G21" s="12">
        <f>IFERROR(VLOOKUP(A21,'درآمد اعمال اختیار'!A:L,10,0),0)</f>
        <v>0</v>
      </c>
      <c r="I21" s="12">
        <f t="shared" si="1"/>
        <v>0</v>
      </c>
      <c r="K21" s="16">
        <f t="shared" si="0"/>
        <v>0</v>
      </c>
      <c r="M21" s="12">
        <v>0</v>
      </c>
      <c r="O21" s="12">
        <v>0</v>
      </c>
      <c r="Q21" s="12">
        <f>IFERROR(VLOOKUP(A21,'درآمد اعمال اختیار'!A:L,12,0),0)</f>
        <v>993815288</v>
      </c>
      <c r="S21" s="12">
        <f t="shared" si="2"/>
        <v>993815288</v>
      </c>
      <c r="U21" s="16">
        <f>S21/درآمد!$F$11*100</f>
        <v>7.7313782476436587E-3</v>
      </c>
    </row>
    <row r="22" spans="1:21" ht="21.75" customHeight="1">
      <c r="A22" s="8" t="s">
        <v>79</v>
      </c>
      <c r="C22" s="12">
        <v>0</v>
      </c>
      <c r="E22" s="12">
        <v>0</v>
      </c>
      <c r="G22" s="12">
        <f>IFERROR(VLOOKUP(A22,'درآمد اعمال اختیار'!A:L,10,0),0)</f>
        <v>0</v>
      </c>
      <c r="I22" s="12">
        <f t="shared" si="1"/>
        <v>0</v>
      </c>
      <c r="K22" s="16">
        <f t="shared" si="0"/>
        <v>0</v>
      </c>
      <c r="M22" s="12"/>
      <c r="O22" s="12">
        <v>0</v>
      </c>
      <c r="Q22" s="12">
        <f>IFERROR(VLOOKUP(A22,'درآمد اعمال اختیار'!A:L,12,0),0)</f>
        <v>824652506</v>
      </c>
      <c r="S22" s="12">
        <f t="shared" si="2"/>
        <v>824652506</v>
      </c>
      <c r="U22" s="16">
        <f>S22/درآمد!$F$11*100</f>
        <v>6.4153777102624243E-3</v>
      </c>
    </row>
    <row r="23" spans="1:21" ht="19.5" thickBot="1">
      <c r="C23" s="19">
        <f>SUM(C9:C22)</f>
        <v>0</v>
      </c>
      <c r="D23" s="36"/>
      <c r="E23" s="19">
        <f>SUM(E9:E22)</f>
        <v>3882344391489</v>
      </c>
      <c r="F23" s="36"/>
      <c r="G23" s="19">
        <f>SUM(G9:G22)</f>
        <v>721338917767</v>
      </c>
      <c r="H23" s="36"/>
      <c r="I23" s="19">
        <f>SUM(I9:I22)</f>
        <v>4603683309256</v>
      </c>
      <c r="J23" s="36"/>
      <c r="K23" s="37">
        <f>SUM(K9:K22)</f>
        <v>99.959565492594365</v>
      </c>
      <c r="L23" s="36"/>
      <c r="M23" s="19">
        <f>SUM(M9:M22)</f>
        <v>0</v>
      </c>
      <c r="N23" s="36"/>
      <c r="O23" s="19">
        <f>SUM(O9:O22)</f>
        <v>10883835609751</v>
      </c>
      <c r="P23" s="36"/>
      <c r="Q23" s="19">
        <f>SUM(Q9:Q22)</f>
        <v>1967044292139</v>
      </c>
      <c r="R23" s="36"/>
      <c r="S23" s="19">
        <f>SUM(S9:S22)</f>
        <v>12850879901890</v>
      </c>
      <c r="T23" s="36"/>
      <c r="U23" s="37">
        <f>SUM(U9:U22)</f>
        <v>99.97331952550266</v>
      </c>
    </row>
    <row r="24" spans="1:21" ht="13.5" thickTop="1"/>
    <row r="25" spans="1:21">
      <c r="E25" s="57"/>
      <c r="G25" s="57"/>
      <c r="I25" s="57"/>
      <c r="O25" s="57"/>
      <c r="Q25" s="57"/>
      <c r="S25" s="57"/>
    </row>
    <row r="26" spans="1:21">
      <c r="E26" s="57">
        <v>3882344391489</v>
      </c>
      <c r="G26" s="57"/>
      <c r="O26" s="57"/>
      <c r="Q26" s="57">
        <v>1967044292139</v>
      </c>
    </row>
    <row r="27" spans="1:21">
      <c r="E27" s="57">
        <f>E23-E26</f>
        <v>0</v>
      </c>
      <c r="Q27" s="57">
        <f>Q23-Q26</f>
        <v>0</v>
      </c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2"/>
  <sheetViews>
    <sheetView rightToLeft="1" view="pageBreakPreview" zoomScale="150" zoomScaleNormal="100" zoomScaleSheetLayoutView="150" workbookViewId="0">
      <selection activeCell="G9" sqref="G9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</row>
    <row r="2" spans="1:9" ht="21.75" customHeight="1">
      <c r="A2" s="67" t="s">
        <v>33</v>
      </c>
      <c r="B2" s="67"/>
      <c r="C2" s="67"/>
      <c r="D2" s="67"/>
      <c r="E2" s="67"/>
      <c r="F2" s="67"/>
      <c r="G2" s="67"/>
      <c r="H2" s="67"/>
      <c r="I2" s="67"/>
    </row>
    <row r="3" spans="1:9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</row>
    <row r="4" spans="1:9" ht="14.45" customHeight="1"/>
    <row r="5" spans="1:9" ht="14.45" customHeight="1">
      <c r="A5" s="66" t="s">
        <v>72</v>
      </c>
      <c r="B5" s="66"/>
      <c r="C5" s="66"/>
      <c r="D5" s="66"/>
      <c r="E5" s="66"/>
      <c r="F5" s="66"/>
      <c r="G5" s="66"/>
      <c r="H5" s="66"/>
      <c r="I5" s="66"/>
    </row>
    <row r="6" spans="1:9" ht="14.45" customHeight="1">
      <c r="C6" s="68" t="s">
        <v>44</v>
      </c>
      <c r="D6" s="68"/>
      <c r="E6" s="68"/>
      <c r="G6" s="68" t="s">
        <v>45</v>
      </c>
      <c r="H6" s="68"/>
      <c r="I6" s="68"/>
    </row>
    <row r="7" spans="1:9" ht="36.4" customHeight="1">
      <c r="A7" s="30" t="s">
        <v>50</v>
      </c>
      <c r="C7" s="7" t="s">
        <v>51</v>
      </c>
      <c r="D7" s="3"/>
      <c r="E7" s="7" t="s">
        <v>52</v>
      </c>
      <c r="G7" s="7" t="s">
        <v>51</v>
      </c>
      <c r="H7" s="3"/>
      <c r="I7" s="7" t="s">
        <v>52</v>
      </c>
    </row>
    <row r="8" spans="1:9" ht="21.75" customHeight="1">
      <c r="A8" s="9" t="s">
        <v>31</v>
      </c>
      <c r="C8" s="11">
        <f>'سود سپرده بانکی'!G8</f>
        <v>8256942</v>
      </c>
      <c r="D8" s="14"/>
      <c r="E8" s="16">
        <f>C8/$C$10*100</f>
        <v>83.10562580827758</v>
      </c>
      <c r="F8" s="14"/>
      <c r="G8" s="11">
        <f>'سود سپرده بانکی'!M8</f>
        <v>32628186</v>
      </c>
      <c r="H8" s="14"/>
      <c r="I8" s="16">
        <f>G8/$G$10*100</f>
        <v>33.345380102513872</v>
      </c>
    </row>
    <row r="9" spans="1:9" ht="21.75" customHeight="1">
      <c r="A9" s="8" t="s">
        <v>32</v>
      </c>
      <c r="C9" s="12">
        <f>'سود سپرده بانکی'!G9</f>
        <v>1678537</v>
      </c>
      <c r="D9" s="14"/>
      <c r="E9" s="16">
        <f>C9/$C$10*100</f>
        <v>16.89437419172241</v>
      </c>
      <c r="F9" s="14"/>
      <c r="G9" s="12">
        <f>'سود سپرده بانکی'!M9</f>
        <v>65221009</v>
      </c>
      <c r="H9" s="14"/>
      <c r="I9" s="16">
        <f>G9/$G$10*100</f>
        <v>66.654619897486128</v>
      </c>
    </row>
    <row r="10" spans="1:9" ht="21.75" customHeight="1" thickBot="1">
      <c r="A10" s="20"/>
      <c r="C10" s="13">
        <f>SUM(C8:C9)</f>
        <v>9935479</v>
      </c>
      <c r="D10" s="14"/>
      <c r="E10" s="13">
        <f>SUM(E8:E9)</f>
        <v>99.999999999999986</v>
      </c>
      <c r="F10" s="14"/>
      <c r="G10" s="13">
        <f>SUM(G8:G9)</f>
        <v>97849195</v>
      </c>
      <c r="H10" s="14"/>
      <c r="I10" s="13">
        <f>SUM(I8:I9)</f>
        <v>100</v>
      </c>
    </row>
    <row r="11" spans="1:9" ht="13.5" thickTop="1">
      <c r="C11" s="23"/>
      <c r="G11" s="23"/>
    </row>
    <row r="12" spans="1:9">
      <c r="C12" s="23"/>
      <c r="G12" s="23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0"/>
  <sheetViews>
    <sheetView rightToLeft="1" view="pageBreakPreview" zoomScale="98" zoomScaleNormal="100" zoomScaleSheetLayoutView="98" workbookViewId="0">
      <selection activeCell="F34" sqref="F34"/>
    </sheetView>
  </sheetViews>
  <sheetFormatPr defaultRowHeight="12.75"/>
  <cols>
    <col min="1" max="1" width="5.140625" style="39" customWidth="1"/>
    <col min="2" max="2" width="41.5703125" style="39" customWidth="1"/>
    <col min="3" max="3" width="1.28515625" style="39" customWidth="1"/>
    <col min="4" max="4" width="19.42578125" style="39" customWidth="1"/>
    <col min="5" max="5" width="1.28515625" style="39" customWidth="1"/>
    <col min="6" max="6" width="19.42578125" style="39" customWidth="1"/>
    <col min="7" max="7" width="0.28515625" style="39" customWidth="1"/>
    <col min="8" max="16384" width="9.140625" style="39"/>
  </cols>
  <sheetData>
    <row r="1" spans="1:6" ht="25.5">
      <c r="A1" s="82" t="str">
        <f>سهام!A1</f>
        <v>صندوق سرمایه گذاری کالایی درفش دماوند</v>
      </c>
      <c r="B1" s="82"/>
      <c r="C1" s="82"/>
      <c r="D1" s="82"/>
      <c r="E1" s="82"/>
      <c r="F1" s="82"/>
    </row>
    <row r="2" spans="1:6" ht="25.5">
      <c r="A2" s="82" t="s">
        <v>33</v>
      </c>
      <c r="B2" s="82"/>
      <c r="C2" s="82"/>
      <c r="D2" s="82"/>
      <c r="E2" s="82"/>
      <c r="F2" s="82"/>
    </row>
    <row r="3" spans="1:6" ht="25.5">
      <c r="A3" s="82" t="str">
        <f>سهام!A3</f>
        <v>برای ماه منتهی به 1404/11/30</v>
      </c>
      <c r="B3" s="82"/>
      <c r="C3" s="82"/>
      <c r="D3" s="82"/>
      <c r="E3" s="82"/>
      <c r="F3" s="82"/>
    </row>
    <row r="4" spans="1:6" ht="14.45" customHeight="1"/>
    <row r="5" spans="1:6" ht="29.1" customHeight="1">
      <c r="A5" s="47" t="s">
        <v>83</v>
      </c>
      <c r="B5" s="83" t="s">
        <v>82</v>
      </c>
      <c r="C5" s="83"/>
      <c r="D5" s="83"/>
      <c r="E5" s="83"/>
      <c r="F5" s="83"/>
    </row>
    <row r="6" spans="1:6" ht="21">
      <c r="D6" s="42" t="s">
        <v>44</v>
      </c>
      <c r="F6" s="42" t="s">
        <v>92</v>
      </c>
    </row>
    <row r="7" spans="1:6" ht="21">
      <c r="A7" s="84" t="s">
        <v>82</v>
      </c>
      <c r="B7" s="84"/>
      <c r="D7" s="46" t="s">
        <v>28</v>
      </c>
      <c r="F7" s="46" t="s">
        <v>28</v>
      </c>
    </row>
    <row r="8" spans="1:6" ht="31.5" customHeight="1">
      <c r="A8" s="80" t="s">
        <v>81</v>
      </c>
      <c r="B8" s="80"/>
      <c r="D8" s="48">
        <v>1852294173</v>
      </c>
      <c r="E8" s="49"/>
      <c r="F8" s="48">
        <v>3331741571</v>
      </c>
    </row>
    <row r="9" spans="1:6" ht="31.5" customHeight="1" thickBot="1">
      <c r="A9" s="81"/>
      <c r="B9" s="81"/>
      <c r="D9" s="50">
        <f>SUM(D8)</f>
        <v>1852294173</v>
      </c>
      <c r="E9" s="49"/>
      <c r="F9" s="50">
        <f>SUM(F8)</f>
        <v>3331741571</v>
      </c>
    </row>
    <row r="10" spans="1:6" ht="13.5" thickTop="1"/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="118" zoomScaleNormal="100" zoomScaleSheetLayoutView="118" workbookViewId="0">
      <selection activeCell="M10" sqref="M1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>
      <c r="A3" s="67" t="str">
        <f>سهام!A3</f>
        <v>برای ماه منتهی به 1404/11/30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/>
    <row r="5" spans="1:13" ht="14.45" customHeight="1">
      <c r="A5" s="69" t="s">
        <v>56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45" customHeight="1">
      <c r="A6" s="68" t="s">
        <v>36</v>
      </c>
      <c r="C6" s="68" t="s">
        <v>44</v>
      </c>
      <c r="D6" s="68"/>
      <c r="E6" s="68"/>
      <c r="F6" s="68"/>
      <c r="G6" s="68"/>
      <c r="I6" s="68" t="s">
        <v>45</v>
      </c>
      <c r="J6" s="68"/>
      <c r="K6" s="68"/>
      <c r="L6" s="68"/>
      <c r="M6" s="68"/>
    </row>
    <row r="7" spans="1:13" ht="29.1" customHeight="1">
      <c r="A7" s="68"/>
      <c r="C7" s="7" t="s">
        <v>54</v>
      </c>
      <c r="D7" s="3"/>
      <c r="E7" s="7" t="s">
        <v>53</v>
      </c>
      <c r="F7" s="3"/>
      <c r="G7" s="7" t="s">
        <v>55</v>
      </c>
      <c r="I7" s="7" t="s">
        <v>54</v>
      </c>
      <c r="J7" s="3"/>
      <c r="K7" s="7" t="s">
        <v>53</v>
      </c>
      <c r="L7" s="3"/>
      <c r="M7" s="60" t="s">
        <v>55</v>
      </c>
    </row>
    <row r="8" spans="1:13" ht="21.75" customHeight="1">
      <c r="A8" s="5" t="s">
        <v>31</v>
      </c>
      <c r="C8" s="11">
        <v>8256942</v>
      </c>
      <c r="D8" s="14"/>
      <c r="E8" s="11">
        <v>0</v>
      </c>
      <c r="F8" s="14"/>
      <c r="G8" s="11">
        <f>C8-E8</f>
        <v>8256942</v>
      </c>
      <c r="H8" s="14"/>
      <c r="I8" s="11">
        <v>32628186</v>
      </c>
      <c r="J8" s="14"/>
      <c r="K8" s="11">
        <v>0</v>
      </c>
      <c r="L8" s="14"/>
      <c r="M8" s="12">
        <f>I8-K8</f>
        <v>32628186</v>
      </c>
    </row>
    <row r="9" spans="1:13" ht="21.75" customHeight="1">
      <c r="A9" s="6" t="s">
        <v>32</v>
      </c>
      <c r="C9" s="12">
        <v>1678537</v>
      </c>
      <c r="D9" s="14"/>
      <c r="E9" s="12">
        <v>0</v>
      </c>
      <c r="F9" s="14"/>
      <c r="G9" s="59">
        <f>C9-E9</f>
        <v>1678537</v>
      </c>
      <c r="H9" s="14"/>
      <c r="I9" s="12">
        <v>65221009</v>
      </c>
      <c r="J9" s="14"/>
      <c r="K9" s="12">
        <v>0</v>
      </c>
      <c r="L9" s="14"/>
      <c r="M9" s="12">
        <f>I9-K9</f>
        <v>65221009</v>
      </c>
    </row>
    <row r="10" spans="1:13" ht="21.75" customHeight="1">
      <c r="A10" s="20"/>
      <c r="C10" s="13">
        <f>SUM(C8:C9)</f>
        <v>9935479</v>
      </c>
      <c r="D10" s="14"/>
      <c r="E10" s="13">
        <v>0</v>
      </c>
      <c r="F10" s="14"/>
      <c r="G10" s="58">
        <f>SUM(G8:G9)</f>
        <v>9935479</v>
      </c>
      <c r="H10" s="14"/>
      <c r="I10" s="13">
        <f>SUM(I8:I9)</f>
        <v>97849195</v>
      </c>
      <c r="J10" s="14"/>
      <c r="K10" s="13">
        <v>0</v>
      </c>
      <c r="L10" s="14"/>
      <c r="M10" s="13">
        <f>SUM(M8:M9)</f>
        <v>97849195</v>
      </c>
    </row>
    <row r="11" spans="1:13">
      <c r="C11" s="23"/>
      <c r="I11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2026-02-22T09:10:07Z</dcterms:modified>
</cp:coreProperties>
</file>